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sharedStrings.xml" ContentType="application/vnd.openxmlformats-officedocument.spreadsheetml.sharedStrings+xml"/>
  <Override PartName="/xl/metadata.xml" ContentType="application/vnd.openxmlformats-officedocument.spreadsheetml.sheetMetadata+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OME" sheetId="1" r:id="rId1"/>
    <sheet name="AC" sheetId="2" r:id="rId2"/>
    <sheet name="AU" sheetId="3" r:id="rId3"/>
    <sheet name="AT" sheetId="4" r:id="rId4"/>
    <sheet name="CM" sheetId="5" r:id="rId5"/>
    <sheet name="IA" sheetId="6" r:id="rId6"/>
    <sheet name="IR" sheetId="7" r:id="rId7"/>
    <sheet name="MA" sheetId="8" r:id="rId8"/>
    <sheet name="MP" sheetId="9" r:id="rId9"/>
    <sheet name="PS" sheetId="10" r:id="rId10"/>
    <sheet name="PE" sheetId="11" r:id="rId11"/>
    <sheet name="RA" sheetId="12" r:id="rId12"/>
    <sheet name="CA" sheetId="13" r:id="rId13"/>
    <sheet name="SI" sheetId="14" r:id="rId14"/>
    <sheet name="SC" sheetId="15" r:id="rId15"/>
    <sheet name="DATA_SUPPORT" sheetId="16" state="hidden" r:id="rId16"/>
    <sheet name="data_summary_by_practice" sheetId="17" state="hidden" r:id="rId17"/>
    <sheet name="DASHBOARD- PERCENT RANGES" sheetId="18" state="hidden" r:id="rId18"/>
    <sheet name="data_summary_by_question" sheetId="19" state="hidden" r:id="rId19"/>
    <sheet name="DASHBOARD- PRACTICES" sheetId="20" r:id="rId20"/>
    <sheet name="DASHBOARD- OBJECTIVE EVIDENCE" sheetId="21" r:id="rId21"/>
    <sheet name="DASHBOARD- DOCUMENTATION" sheetId="22" r:id="rId22"/>
    <sheet name="Docs&gt;Completed" sheetId="23" r:id="rId23"/>
    <sheet name="Docs&gt;Partially Completed" sheetId="24" r:id="rId24"/>
    <sheet name="Docs&gt;Not Yet Started" sheetId="25" r:id="rId25"/>
    <sheet name="Docs&gt;No Answer" sheetId="26" r:id="rId26"/>
    <sheet name="practices&gt;Yes" sheetId="27" r:id="rId27"/>
    <sheet name="practices&gt;It Does Not Apply" sheetId="28" r:id="rId28"/>
    <sheet name="practices&gt;Partially" sheetId="29" r:id="rId29"/>
    <sheet name="practices&gt;I Have Done An Altern" sheetId="30" r:id="rId30"/>
    <sheet name="practices&gt;No" sheetId="31" r:id="rId31"/>
    <sheet name="practices&gt;No Answer" sheetId="32" r:id="rId32"/>
    <sheet name="IMPORT-LOCATIONS" sheetId="33" state="hidden" r:id="rId33"/>
    <sheet name="CDN-FACILITATED_PRACTICES" sheetId="34" r:id="rId34"/>
  </sheets>
  <calcPr calcId="124519" fullCalcOnLoad="1"/>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<sst xmlns="http://schemas.openxmlformats.org/spreadsheetml/2006/main" count="6191" uniqueCount="956">
  <si>
    <t>LEVEL: 2 CMMC Self-Assessment - Table of Contents - Version 2.36c_cfp</t>
  </si>
  <si>
    <t>Dashboard for Practices</t>
  </si>
  <si>
    <t>Documentation Answers</t>
  </si>
  <si>
    <t>Dashboard for Objective Evidence</t>
  </si>
  <si>
    <t>Views of Practice Answers by Readiness Status</t>
  </si>
  <si>
    <t/>
  </si>
  <si>
    <r>
      <rPr>
        <b/>
        <u/>
        <sz val="11"/>
        <color rgb="FF0000FF"/>
        <rFont val="Calibri"/>
        <family val="2"/>
        <scheme val="minor"/>
      </rPr>
      <t>Yes</t>
    </r>
    <r>
      <rPr>
        <sz val="11"/>
        <color theme="1"/>
        <rFont val="Calibri"/>
        <family val="2"/>
        <scheme val="minor"/>
      </rPr>
      <t xml:space="preserve"> - Has been completed</t>
    </r>
  </si>
  <si>
    <r>
      <rPr>
        <b/>
        <u/>
        <sz val="11"/>
        <color rgb="FF0000FF"/>
        <rFont val="Calibri"/>
        <family val="2"/>
        <scheme val="minor"/>
      </rPr>
      <t>It Does Not Apply</t>
    </r>
    <r>
      <rPr>
        <sz val="11"/>
        <color theme="1"/>
        <rFont val="Calibri"/>
        <family val="2"/>
        <scheme val="minor"/>
      </rPr>
      <t xml:space="preserve"> - Does not apply to our system or situation</t>
    </r>
  </si>
  <si>
    <r>
      <rPr>
        <b/>
        <u/>
        <sz val="11"/>
        <color rgb="FF0000FF"/>
        <rFont val="Calibri"/>
        <family val="2"/>
        <scheme val="minor"/>
      </rPr>
      <t>Partially</t>
    </r>
    <r>
      <rPr>
        <sz val="11"/>
        <color theme="1"/>
        <rFont val="Calibri"/>
        <family val="2"/>
        <scheme val="minor"/>
      </rPr>
      <t xml:space="preserve"> - Has been partially completed</t>
    </r>
  </si>
  <si>
    <r>
      <rPr>
        <b/>
        <u/>
        <sz val="11"/>
        <color rgb="FF0000FF"/>
        <rFont val="Calibri"/>
        <family val="2"/>
        <scheme val="minor"/>
      </rPr>
      <t>I Have Done An Alternative Approach</t>
    </r>
    <r>
      <rPr>
        <sz val="11"/>
        <color theme="1"/>
        <rFont val="Calibri"/>
        <family val="2"/>
        <scheme val="minor"/>
      </rPr>
      <t xml:space="preserve"> - A work-around has been implemented</t>
    </r>
  </si>
  <si>
    <r>
      <rPr>
        <b/>
        <u/>
        <sz val="11"/>
        <color rgb="FF0000FF"/>
        <rFont val="Calibri"/>
        <family val="2"/>
        <scheme val="minor"/>
      </rPr>
      <t>No</t>
    </r>
    <r>
      <rPr>
        <sz val="11"/>
        <color theme="1"/>
        <rFont val="Calibri"/>
        <family val="2"/>
        <scheme val="minor"/>
      </rPr>
      <t xml:space="preserve"> - Work has NOT been started</t>
    </r>
  </si>
  <si>
    <r>
      <rPr>
        <b/>
        <u/>
        <sz val="11"/>
        <color rgb="FF0000FF"/>
        <rFont val="Calibri"/>
        <family val="2"/>
        <scheme val="minor"/>
      </rPr>
      <t>No Answer</t>
    </r>
    <r>
      <rPr>
        <sz val="11"/>
        <color theme="1"/>
        <rFont val="Calibri"/>
        <family val="2"/>
        <scheme val="minor"/>
      </rPr>
      <t xml:space="preserve"> - No answer has been entered</t>
    </r>
  </si>
  <si>
    <t>Assess Practice Implementations for these Domains</t>
  </si>
  <si>
    <t>Access Control (AC)</t>
  </si>
  <si>
    <t>Audit and Accountability (AU)</t>
  </si>
  <si>
    <t>Awareness and Training (AT)</t>
  </si>
  <si>
    <t>Configuration Management (CM)</t>
  </si>
  <si>
    <t>Identification and Authentication (IA)</t>
  </si>
  <si>
    <t>Incident Response (IR)</t>
  </si>
  <si>
    <t>Maintenance (MA)</t>
  </si>
  <si>
    <t>Media Protection (MP)</t>
  </si>
  <si>
    <t>Personnel Security (PS)</t>
  </si>
  <si>
    <t>Physical Protection (PE)</t>
  </si>
  <si>
    <t>Risk Assessment (RA)</t>
  </si>
  <si>
    <t>Security Assessment (CA)</t>
  </si>
  <si>
    <t>System and Information Integrity (SI)</t>
  </si>
  <si>
    <t>Systems and Communications Protections (SC)</t>
  </si>
  <si>
    <t>This Self-Assessment Tool includes questions and insights based on notes published by the DOD as of the date set forth above.  Where no assessment, insights, notes or questions are yet published, Celerium has included some based on our interpretation of the requirements at the time, which may or may not be accurate and are subject to change. You may use and modify this Self-Assessment Tool as you deem appropriate solely for your internal CMMC compliance self-assessment.  This tool is not intended to replace legal or compliance advice or review.  USE OF THIS SELF-ASSESSMENT TOOL IS AT YOUR OWN RISK. NEITHER CELERIUM, ITS AFFILIATED COMPANIES, NOR ANY PERSON ASSOCIATED WITH CELERIUM MAKES ANY WARRANTY, GUARANTY OR REPRESENTATION WITH RESPECT TO THE ACCURACY, COMPLETENESS, RELIABILITY OR VALIDITY OF THIS TOOL OR ANY OF ITS CONTENT.  CELERIUM DOES NOT WARRANT OR GUARANTY THE TOOL IS UP TO DATE WITH RESPECT TO THE CURRENT STATUS OF THE CMMC CERTIFICATION REGULATIONS OR GUIDELINES.  CELERIUM SHALL HAVE NO RESPONSIBILITY OR LIABLITY FOR YOUR USE OF OR RELIANCE ON THIS SELF-ASSESSMENT TOOL.</t>
  </si>
  <si>
    <t>© 2020-2021 Celerium Inc.  All Rights Reserved.</t>
  </si>
  <si>
    <t xml:space="preserve">This Worksheet Was Last Updated: </t>
  </si>
  <si>
    <t>Thu Apr 18 17:05:58 2024</t>
  </si>
  <si>
    <t>Version number:</t>
  </si>
  <si>
    <t>LEVEL: 2 CMMC Self-Assessment Notes</t>
  </si>
  <si>
    <t>1)  Assessment Solution: Overview and How to Use</t>
  </si>
  <si>
    <t>2) This advanced self-assessment tool incorporates assessment mechanisms of “Objective Evidence” that will be used by CMMC Assessors when reviewing your company.</t>
  </si>
  <si>
    <t>3) A current subscription to Office 365 or Microsoft 365 is required. Your answers to these questions may be considered to be sensitive business material so be thoughtful about where and how you share your data.</t>
  </si>
  <si>
    <t>Dashboard: all practices facilitated by CDN Compromise Defender.</t>
  </si>
  <si>
    <t>LEVEL: 2  DOMAIN: ACCESS CONTROL</t>
  </si>
  <si>
    <t>DOMAIN IMPLEMENTATION DASHBOARD</t>
  </si>
  <si>
    <t>HOME</t>
  </si>
  <si>
    <t>Dashboard</t>
  </si>
  <si>
    <t>Practice Details</t>
  </si>
  <si>
    <t>Documentation Details</t>
  </si>
  <si>
    <t>Practice Answers</t>
  </si>
  <si>
    <t>Objective Evidence</t>
  </si>
  <si>
    <t>CDN-Facilitated Practices</t>
  </si>
  <si>
    <t>Yes</t>
  </si>
  <si>
    <t>It Does Not Apply</t>
  </si>
  <si>
    <t>Partially</t>
  </si>
  <si>
    <t>I Have Done An Alternative Approach</t>
  </si>
  <si>
    <t>No</t>
  </si>
  <si>
    <t>No Answer</t>
  </si>
  <si>
    <t>Completed</t>
  </si>
  <si>
    <t>Partially Completed</t>
  </si>
  <si>
    <t>Not Yet Started</t>
  </si>
  <si>
    <t>Practice Number and Summary</t>
  </si>
  <si>
    <t>Comments</t>
  </si>
  <si>
    <t xml:space="preserve">AC.L1-3.1.1 - Limit information system access to authorized users, processes acting on behalf of authorized users, or devices (including other information systems) </t>
  </si>
  <si>
    <t>Please Select Answer Using the Dropdown</t>
  </si>
  <si>
    <t xml:space="preserve">Comments: </t>
  </si>
  <si>
    <t>[a] Have authorized users been identified?</t>
  </si>
  <si>
    <t xml:space="preserve">Action items: </t>
  </si>
  <si>
    <t>[b] Have processes acting on behalf of authorized users been identified?</t>
  </si>
  <si>
    <t>[c] Have devices (and other systems) authorized to connect to the system been identified?</t>
  </si>
  <si>
    <t>[d] Is system access limited to authorized users?</t>
  </si>
  <si>
    <t>[e] Is system access limited to processes acting on behalf of authorized users?</t>
  </si>
  <si>
    <t>[f] Is system access limited to authorized devices (including other systems)?</t>
  </si>
  <si>
    <t>Have you prepared two different forms of objective evidence for this practice (artifacts, interviews, or tests) for the CMMC Assessor to review?</t>
  </si>
  <si>
    <t xml:space="preserve">Objective Evidence Action items: </t>
  </si>
  <si>
    <t>AC.L1-3.1.2 - Limit information system access to the types of transactions and functions that authorized users are permitted to execute.</t>
  </si>
  <si>
    <t>[a] Are the types of transactions and functions that authorized users are permitted to execute defined?</t>
  </si>
  <si>
    <t>[b] Is system access limited to the defined types of transactions and functions for authorized users?</t>
  </si>
  <si>
    <t>AC.L1-3.1.20 - Verify and control/limit connections to and use of external information systems.</t>
  </si>
  <si>
    <t>[a] Are connections to external systems identified?</t>
  </si>
  <si>
    <t>[b] Is the use of external systems identified?</t>
  </si>
  <si>
    <t>[c] Are connections to external systems verified?</t>
  </si>
  <si>
    <t>[d] Is the use of external systems verified?</t>
  </si>
  <si>
    <t>[e] Are connections to external systems controlled/limited?</t>
  </si>
  <si>
    <t>[f] Is the use of external systems controlled/limited?</t>
  </si>
  <si>
    <t>AC.L1-3.1.22 - Control information posted or processed on publicly accessible information systems</t>
  </si>
  <si>
    <t>[a] Are individuals authorized to post or process information on publicly accessible systems identified?</t>
  </si>
  <si>
    <t>[b] Are procedures to ensure FCI is not posted or processed on publicly accessible systems identified?</t>
  </si>
  <si>
    <t>[c]Is a review process in place prior to posting of any content to publicly accessible systems?</t>
  </si>
  <si>
    <t xml:space="preserve">[d] Is content on publicly accessible systems reviewed to ensure that it does not include FCI? </t>
  </si>
  <si>
    <t>[e] Are mechanisms in place to remove and address improper posting of FCI?</t>
  </si>
  <si>
    <t>AC.L2-3.1.10 - Use session lock with pattern-hiding displays to prevent access and viewing of data after a period of inactivity.</t>
  </si>
  <si>
    <t>[a] Is the period of inactivity after which the system initiates a session lock defined?</t>
  </si>
  <si>
    <t>[b] Is access to the system and viewing of data prevented by initiating a session lock after the defined period of inactivity?</t>
  </si>
  <si>
    <t>[c] Is previously visible information concealed via a pattern-hiding display after the defined period of inactivity?</t>
  </si>
  <si>
    <t>AC.L2-3.1.11 - Terminate (automatically) user sessions after a defined condition.</t>
  </si>
  <si>
    <t>[a] Are conditions requiring a user session to terminate defined?</t>
  </si>
  <si>
    <t>[b] Is a user session automatically terminated after any of the defined conditions occur?</t>
  </si>
  <si>
    <t>AC.L2-3.1.12 - Monitor and control remote access sessions.</t>
  </si>
  <si>
    <t>[a] Are remote access sessions permitted?</t>
  </si>
  <si>
    <t>[b] Are the types of permitted remote access identified?</t>
  </si>
  <si>
    <t>[c] Are remote access sessions controlled?</t>
  </si>
  <si>
    <t>[d] Are remote access sessions monitored?</t>
  </si>
  <si>
    <t>AC.L2-3.1.13 - Employ cryptographic mechanisms to protect the confidentiality of remote access sessions.</t>
  </si>
  <si>
    <t>[a] Are cryptographic mechanisms to protect the confidentiality of remote access sessions identified?</t>
  </si>
  <si>
    <t>[b] Are cryptographic mechanisms to protect the confidentiality of remote access sessions implemented?</t>
  </si>
  <si>
    <t>AC.L2-3.1.14 - Route remote access via managed access control points.</t>
  </si>
  <si>
    <t>[a] Are managed access control points identified and implemented?</t>
  </si>
  <si>
    <t>[b] Is remote access routed through managed network access control points?</t>
  </si>
  <si>
    <t>AC.L2-3.1.15 - Authorize remote execution of privileged commands and remote access to security-relevant information.</t>
  </si>
  <si>
    <t>[a] Are privileged commands authorized for remote execution identified?</t>
  </si>
  <si>
    <t>[b] Is security-relevant information authorized to be accessed remotely identified?</t>
  </si>
  <si>
    <t>[c] Is the execution of the identified privileged commands via remote access authorized?</t>
  </si>
  <si>
    <t>[d] Is access to the identified security-relevant information via remote access authorized?</t>
  </si>
  <si>
    <t>AC.L2-3.1.16 - Authorize wireless access prior to allowing such connections.</t>
  </si>
  <si>
    <t>[a] Are wireless access points identified?</t>
  </si>
  <si>
    <t>[b] Is wireless access authorized prior to allowing such connections?</t>
  </si>
  <si>
    <t>AC.L2-3.1.17 - Protect wireless access using authentication and encryption.</t>
  </si>
  <si>
    <t>[a] Is wireless access to the system protected using authentication?</t>
  </si>
  <si>
    <t>[b] Is wireless access to the system protected using encryption?</t>
  </si>
  <si>
    <t>AC.L2-3.1.18 - Control connection of mobile devices.</t>
  </si>
  <si>
    <t>[a] Are mobile devices that process, store, or transmit CUI identified?</t>
  </si>
  <si>
    <t>[b] Are mobile device connections authorized?</t>
  </si>
  <si>
    <t>[c] Are mobile device connections monitored and logged?</t>
  </si>
  <si>
    <t>AC.L2-3.1.19 - Encrypt CUI on mobile devices and mobile computing platforms.</t>
  </si>
  <si>
    <t>[a] Are mobile devices and mobile computing platforms that process, store, or transmit CUI identified?</t>
  </si>
  <si>
    <t>[b] Is encryption employed to protect CUI on identified mobile devices and mobile computing platforms?</t>
  </si>
  <si>
    <t>AC.L2-3.1.21 - Limit use of portable storage devices on external systems.</t>
  </si>
  <si>
    <t>[a] Is the use of portable storage devices containing CUI on external systems identified and documented?</t>
  </si>
  <si>
    <t>[b] Are limits on the use of portable storage devices containing CUI on external systems defined?</t>
  </si>
  <si>
    <t>[c] Is the use of portable storage devices containing CUI on external systems limited as defined?</t>
  </si>
  <si>
    <t>AC.L2-3.1.3 - Control the flow of CUI in accordance with approved authorizations.</t>
  </si>
  <si>
    <t>[a] Are information flow control policies defined?</t>
  </si>
  <si>
    <t>[b] Are methods and enforcement mechanisms for controlling the flow of CUI defined?</t>
  </si>
  <si>
    <t>[c] Are designated sources and destinations (e.g., networks, individuals, and devices) for CUI within the system and between interconnected systems identified?</t>
  </si>
  <si>
    <t>[d] Are authorizations for controlling the flow of CUI defined?</t>
  </si>
  <si>
    <t>[e] Are approved authorizations for controlling the flow of CUI enforced?</t>
  </si>
  <si>
    <t>AC.L2-3.1.4 - Separate the duties of individuals to reduce the risk of malevolent activity without collusion.</t>
  </si>
  <si>
    <t>[a] Are the duties of individuals requiring separation defined?</t>
  </si>
  <si>
    <t>[b] Are responsibilities for duties that require separation assigned to separate individuals?</t>
  </si>
  <si>
    <t>[c] Are access privileges that enable individuals to exercise the duties that require separation granted to separate individuals?</t>
  </si>
  <si>
    <t>AC.L2-3.1.5 - Employ the principle of least privilege, including for specific security functions and privileged accounts.</t>
  </si>
  <si>
    <t>[a] Are privileged accounts identified?</t>
  </si>
  <si>
    <t>[b] Is access to privileged accounts authorized in accordance with the principle of least privilege?</t>
  </si>
  <si>
    <t>[c] Are security functions identified?</t>
  </si>
  <si>
    <t>[d] Is access to security functions authorized in accordance with the principle of least privilege?</t>
  </si>
  <si>
    <t>AC.L2-3.1.6 - Use non-privileged accounts or roles when accessing non-security functions.</t>
  </si>
  <si>
    <t>[a] Are nonsecurity functions are identified?</t>
  </si>
  <si>
    <t>[b] Are users required to use non-privileged accounts or roles when accessing nonsecurity functions?</t>
  </si>
  <si>
    <t>AC.L2-3.1.7 - Prevent non-privileged users from executing privileged functions and capture the execution of such functions in audit logs.</t>
  </si>
  <si>
    <t>[a] Are privileged functions defined?</t>
  </si>
  <si>
    <t>[b] Are non-privileged users defined?</t>
  </si>
  <si>
    <t>[c] Are non-privileged users prevented from executing privileged functions?</t>
  </si>
  <si>
    <t>[d] Is the execution of privileged functions captured in audit logs?</t>
  </si>
  <si>
    <t>AC.L2-3.1.8 - Limit unsuccessful logon attempts.</t>
  </si>
  <si>
    <t>[a] Is the means of limiting unsuccessful logon attempts defined?</t>
  </si>
  <si>
    <t>[b] Is the defined means of limiting unsuccessful logon attempts implemented?</t>
  </si>
  <si>
    <t>AC.L2-3.1.9 - Provide privacy and security notices consistent with applicable CUI rules.</t>
  </si>
  <si>
    <t>[a] Are privacy and security notices required by CUI-specified rules identified, consistent, and associated with the specific CUI category?</t>
  </si>
  <si>
    <t>[b] Are privacy and security notices displayed?</t>
  </si>
  <si>
    <t>Is a Policy Defined for this Domain?</t>
  </si>
  <si>
    <t>Are Practice Implementations documented?</t>
  </si>
  <si>
    <t>Does your System Secure Plan (SSP) contain completed documentation for this Domain?</t>
  </si>
  <si>
    <t>STATUS</t>
  </si>
  <si>
    <t>COUNT</t>
  </si>
  <si>
    <t>%</t>
  </si>
  <si>
    <t>TOTAL</t>
  </si>
  <si>
    <t>NUMBER OF PRACTICES IN EACH SCORE RANGE</t>
  </si>
  <si>
    <t>100% Done</t>
  </si>
  <si>
    <t>75% to 99% Done</t>
  </si>
  <si>
    <t>50% to 74% Done</t>
  </si>
  <si>
    <t>25% to 49% Done</t>
  </si>
  <si>
    <t>0% to 24% Done</t>
  </si>
  <si>
    <t>LEVEL: 2  DOMAIN: AUDIT AND ACCOUNTABILITY</t>
  </si>
  <si>
    <t>AU.L2-3.3.1 - Create and retain system audit logs and records to the extent needed to enable the monitoring, analysis, investigation, and reporting of unlawful or unauthorized system activity.</t>
  </si>
  <si>
    <t>[a] Are audit logs needed (i.e., event types to be logged) to enable the monitoring, analysis, investigation, and reporting of unlawful or unauthorized system activity specified?</t>
  </si>
  <si>
    <t>[b] Is the content of audit records needed to support monitoring, analysis, investigation, and reporting of unlawful or unauthorized system activity defined?</t>
  </si>
  <si>
    <t>[c] Are audit records created (generated)?</t>
  </si>
  <si>
    <t>[d] Do audit records, once created, contain the defined content?</t>
  </si>
  <si>
    <t>[e] Are retention requirements for audit records defined?</t>
  </si>
  <si>
    <t>[f] Are audit records retained as defined?</t>
  </si>
  <si>
    <t xml:space="preserve">AU.L2-3.3.2 - Ensure that the actions of individual system users can be uniquely traced to those users so they can be held accountable for their actions. </t>
  </si>
  <si>
    <t>[a] Is the content of the audit records needed to support the ability to uniquely trace users to their actions defined?</t>
  </si>
  <si>
    <t>[b] Do the audit records, once created, contain the defined content?</t>
  </si>
  <si>
    <t>AU.L2-3.3.3 - Review and update logged events.</t>
  </si>
  <si>
    <t>[a] Is a process for determining when to review logged events defined?</t>
  </si>
  <si>
    <t>[b] Are event types being logged reviewed in accordance with the defined review process?</t>
  </si>
  <si>
    <t>[c] Are event types being logged updated based on the review?</t>
  </si>
  <si>
    <t>AU.L2-3.3.4 - Alert in the event of an audit logging process failure.</t>
  </si>
  <si>
    <t>[a] Are personnel or roles to be alerted in the event of an audit logging process failure identified?</t>
  </si>
  <si>
    <t>[b] Are types of audit logging process failures for which alert will be generated defined?</t>
  </si>
  <si>
    <t>[c] Are identified personnel or roles alerted in the event of an audit logging process failure?</t>
  </si>
  <si>
    <t>AU.L2-3.3.5 - Correlate audit record review, analysis, and reporting processes for investigation and response to indications of unlawful, unauthorized, suspicious, or unusual activity.</t>
  </si>
  <si>
    <t>[a] Are audit record review, analysis, and reporting processes for investigation and response to indications of unlawful, unauthorized, suspicious, or unusual activity defined?</t>
  </si>
  <si>
    <t>[b] Are defined audit record review, analysis, and reporting processes correlated?</t>
  </si>
  <si>
    <t>AU.L2-3.3.6 - Provide audit record reduction and report generation to support on-demand analysis and reporting.</t>
  </si>
  <si>
    <t>[a] Is an audit record reduction capability that supports on-demand analysis provided?</t>
  </si>
  <si>
    <t>[b] Is a report generation capability that supports on-demand reporting provided?</t>
  </si>
  <si>
    <t>AU.L2-3.3.7 - Provide a system capability that compares and synchronizes internal system clocks with an authoritative source to generate time stamps for audit records.</t>
  </si>
  <si>
    <t>[a] Are internal system clocks used to generate time stamps for audit records?</t>
  </si>
  <si>
    <t>[b] Is an authoritative source with which to compare and synchronize internal system clocks specified?</t>
  </si>
  <si>
    <t>[c] Are internal system clocks used to generate time stamps for audit records compared to and synchronized with the specified authoritative time source?</t>
  </si>
  <si>
    <t>AU.L2-3.3.8 - Protect audit information and audit logging tools from unauthorized access, modification, and deletion.</t>
  </si>
  <si>
    <t>[a] Is audit information protected from unauthorized access?</t>
  </si>
  <si>
    <t>[b] Is audit information protected from unauthorized modification?</t>
  </si>
  <si>
    <t>[c] Is audit information protected from unauthorized deletion?</t>
  </si>
  <si>
    <t>[d] Are audit logging tools protected from unauthorized access?</t>
  </si>
  <si>
    <t>[e] Are audit logging tools protected from unauthorized modification?</t>
  </si>
  <si>
    <t>[f] Are audit logging tools protected from unauthorized deletion?</t>
  </si>
  <si>
    <t>AU.L2-3.3.9 - Limit management of audit logging functionality to a subset of privileged users.</t>
  </si>
  <si>
    <t>[a] Is a subset of privileged users granted access to manage audit logging functionality defined?</t>
  </si>
  <si>
    <t>[b] Is management of audit logging functionality limited to the defined subset of privileged users?</t>
  </si>
  <si>
    <t>LEVEL: 2  DOMAIN: AWARENESS AND TRAINING</t>
  </si>
  <si>
    <t>AT.L2-3.2.1 - Ensure that managers, system administrators, and users of organizational systems are made aware of the security risks associated with their activities and of the applicable policies, standards, and procedures related to the security of those systems.</t>
  </si>
  <si>
    <t>[a] Are security risks associated with organizational activities involving CUI identified?</t>
  </si>
  <si>
    <t>[b] Are policies, standards, and procedures related to the security of the system identified?</t>
  </si>
  <si>
    <t>[c] Are managers, systems administrators, and users of the system made aware of the security risks associated with their activities?</t>
  </si>
  <si>
    <t>[d] Are managers, systems administrators, and users of the system made aware of the applicable policies, standards, and procedures related to the security of the system?</t>
  </si>
  <si>
    <t>AT.L2-3.2.2 - Ensure that personnel are trained to carry out their assigned information security-related duties and responsibilities.</t>
  </si>
  <si>
    <t>[a] Are information security-related duties, roles, and responsibilities defined?</t>
  </si>
  <si>
    <t>[b] Are information security-related duties, roles, and responsibilities assigned to designated personnel?</t>
  </si>
  <si>
    <t>[c] Are personnel adequately trained to carry out their assigned information security-related duties, roles, and responsibilities?</t>
  </si>
  <si>
    <t>AT.L2-3.2.3 - Provide security awareness training on recognizing and reporting potential indicators of insider threat.</t>
  </si>
  <si>
    <t>[a] Are potential indicators associated with insider threats identified?</t>
  </si>
  <si>
    <t>[b] Is security awareness training on recognizing and reporting potential indicators of insider threat provided to managers and employees?</t>
  </si>
  <si>
    <t>LEVEL: 2  DOMAIN: CONFIGURATION MANAGEMENT</t>
  </si>
  <si>
    <t>CM.L2-3.4.1 - Establish and maintain baseline configurations and inventories of organizational systems (including hardware, software, firmware, and documentation) throughout the respective system development life cycles.</t>
  </si>
  <si>
    <t>[a] Is a baseline configuration established?</t>
  </si>
  <si>
    <t>[b] Does the baseline configuration include hardware, software, firmware, and documentation?</t>
  </si>
  <si>
    <t>[c] Is the baseline configuration maintained (reviewed and updated) throughout the system development life cycle?</t>
  </si>
  <si>
    <t>[d] Is a system inventory established?</t>
  </si>
  <si>
    <t>[e] Does the system inventory include hardware, software, firmware, and documentation?</t>
  </si>
  <si>
    <t>[f] Is the inventory maintained (reviewed and updated) throughout the system development life cycle?</t>
  </si>
  <si>
    <t>CM.L2-3.4.2 - Establish and enforce security configuration settings for information technology products employed in organizational systems.</t>
  </si>
  <si>
    <t>[a] Are security configuration settings for information technology products employed in the system established and included in the baseline configuration?</t>
  </si>
  <si>
    <t>[b] Are security configuration settings for information technology products employed in the system enforced?</t>
  </si>
  <si>
    <t>CM.L2-3.4.3 - Track, review, approve, or disapprove, and log changes to organizational systems.</t>
  </si>
  <si>
    <t>[a] Are changes to the system tracked?</t>
  </si>
  <si>
    <t>[b] Are changes to the system reviewed?</t>
  </si>
  <si>
    <t>[c] Are changes to the system approved or disapproved?</t>
  </si>
  <si>
    <t>[d] Are changes to the system logged?</t>
  </si>
  <si>
    <t>CM.L2-3.4.4 - Analyze the security impact of changes prior to implementation.</t>
  </si>
  <si>
    <t>[a] Is the security impact of changes to the system analyzed prior to implementation?</t>
  </si>
  <si>
    <t>CM.L2-3.4.5 - Define, document, approve, and enforce physical and logical access restrictions associated with changes to organizational systems.</t>
  </si>
  <si>
    <t>[a] Are physical access restrictions associated with changes to the system defined?</t>
  </si>
  <si>
    <t>[b] Are physical access restrictions associated with changes to the system documented?</t>
  </si>
  <si>
    <t>[c] Are physical access restrictions associated with changes to the system approved?</t>
  </si>
  <si>
    <t>[d] Are physical access restrictions associated with changes to the system enforced?</t>
  </si>
  <si>
    <t>[e] Are logical access restrictions associated with changes to the system defined?</t>
  </si>
  <si>
    <t>[f] Are logical access restrictions associated with changes to the system documented?</t>
  </si>
  <si>
    <t>[g] Are logical access restrictions associated with changes to the system approved?</t>
  </si>
  <si>
    <t>[h] Are logical access restrictions associated with changes to the system enforced?</t>
  </si>
  <si>
    <t>CM.L2-3.4.6 - Employ the principle of least functionality by configuring organizational systems to provide only essential capabilities.</t>
  </si>
  <si>
    <t>[a] Are essential system capabilities defined based on the principle of least functionality?</t>
  </si>
  <si>
    <t>[b] Is the system configured to provide only the defined essential capabilities?</t>
  </si>
  <si>
    <t>CM.L2-3.4.7 - Restrict, disable, or prevent the use of nonessential programs, functions, ports, protocols, and services.</t>
  </si>
  <si>
    <t>[a] Are essential programs defined?</t>
  </si>
  <si>
    <t>[b] Is the use of nonessential programs defined?</t>
  </si>
  <si>
    <t>[c] Is the use of nonessential programs restricted, disabled, or prevented as defined?</t>
  </si>
  <si>
    <t>[d] Are essential functions defined?</t>
  </si>
  <si>
    <t>[e] Is the use of nonessential functions defined?</t>
  </si>
  <si>
    <t>[f] Is the use of nonessential functions restricted, disabled, or prevented as defined?</t>
  </si>
  <si>
    <t>[g] Are essential ports defined?</t>
  </si>
  <si>
    <t>[h] Is the use of nonessential ports defined?</t>
  </si>
  <si>
    <t>[i] Is the use of nonessential ports restricted, disabled, or prevented as defined?</t>
  </si>
  <si>
    <t>[j] Are essential protocols defined?</t>
  </si>
  <si>
    <t>[k] Is the use of nonessential protocols defined?</t>
  </si>
  <si>
    <t>[l] Is the use of nonessential protocols restricted, disabled, or prevented as defined?</t>
  </si>
  <si>
    <t>[m] Are essential services defined?</t>
  </si>
  <si>
    <t>[n] Is the use of nonessential services defined?</t>
  </si>
  <si>
    <t>[o] Is the use of nonessential services restricted, disabled, or prevented as defined?</t>
  </si>
  <si>
    <t>CM.L2-3.4.8 - Apply deny-by-exception (blacklisting) policy to prevent the use of unauthorized software or deny-all, permit-by-exception (whitelisting) policy to allow the execution of authorized software.</t>
  </si>
  <si>
    <t>[a] Is a policy specifying whether whitelisting or blacklisting is to be implemented specified?</t>
  </si>
  <si>
    <t>[b] Is the software allowed to execute under whitelisting or denied use under blacklisting specified?</t>
  </si>
  <si>
    <t>[c] Is whitelisting to allow the execution of authorized software or blacklisting to prevent the use of unauthorized software implemented as specified?</t>
  </si>
  <si>
    <t>CM.L2-3.4.9 - Control and monitor user-installed software.</t>
  </si>
  <si>
    <t>[a] Is a policy for controlling the installation of software by users established?</t>
  </si>
  <si>
    <t>[b] Is installation of software by users controlled based on the established policy?</t>
  </si>
  <si>
    <t>[c] Is installation of software by users monitored?</t>
  </si>
  <si>
    <t>LEVEL: 2  DOMAIN: IDENTIFICATION AND AUTHENTICATION</t>
  </si>
  <si>
    <t>IA.L1-3.5.1 - Identify information system users, processes acting on behalf of users, or devices.</t>
  </si>
  <si>
    <t>[a] Are system users identified?</t>
  </si>
  <si>
    <t>[b] Are processes acting on behalf of users identified?</t>
  </si>
  <si>
    <t>[c] Are devices accessing the system identified?</t>
  </si>
  <si>
    <t>IA.L1-3.5.2 - Authenticate (or verify) the identities of those users, processes, or devices as a prerequisite to allowing access to organizational information systems.</t>
  </si>
  <si>
    <t>[a] Is the identity of each user authenticated or verified as a prerequisite to system access?</t>
  </si>
  <si>
    <t>[b] Is the identity of each process acting on behalf of a user authenticated or verified as a prerequisite to system access?</t>
  </si>
  <si>
    <t>[c] Is the identity of each device accessing or connecting to the system authenticated or verified as a prerequisite to system access?</t>
  </si>
  <si>
    <t>IA.L2-3.5.10 - Store and transmit only cryptographically-protected passwords.</t>
  </si>
  <si>
    <t>[a] Are passwords cryptographically protected in storage?</t>
  </si>
  <si>
    <t>[b] Are passwords cryptographically protected in transit?</t>
  </si>
  <si>
    <t>IA.L2-3.5.11 - Obscure feedback of authentication information.</t>
  </si>
  <si>
    <t>[a] Is authentication information obscured during the authentication process?</t>
  </si>
  <si>
    <t>IA.L2-3.5.3 - Use multi-factor authentication for local and network access to privileged accounts and for network access to non-privileged accounts.</t>
  </si>
  <si>
    <t>[b] Is multifactor authentication implemented for local access to privileged accounts?</t>
  </si>
  <si>
    <t>[c] Is multifactor authentication implemented for network access to privileged accounts?</t>
  </si>
  <si>
    <t>[d] Is multifactor authentication implemented for network access to non-privileged accounts?</t>
  </si>
  <si>
    <t>IA.L2-3.5.4 - Employ replay-resistant authentication mechanisms for network access to privileged and non-privileged accounts.</t>
  </si>
  <si>
    <t>[a] Are replay-resistant authentication mechanisms implemented for network account access to privileged and non-privileged accounts?</t>
  </si>
  <si>
    <t>IA.L2-3.5.5 - Prevent the reuse of identifiers for a defined period.</t>
  </si>
  <si>
    <t>[a] Is a period within which identifiers cannot be reused defined?</t>
  </si>
  <si>
    <t>[b] Is reuse of identifiers prevented within the defined period?</t>
  </si>
  <si>
    <t>IA.L2-3.5.6 - Disable identifiers after a defined period of inactivity.</t>
  </si>
  <si>
    <t>[a] Is a period of inactivity after which an identifier is disabled defined?</t>
  </si>
  <si>
    <t>[b] Are identifiers disabled after the defined period of inactivity?</t>
  </si>
  <si>
    <t>IA.L2-3.5.7 - Enforce a minimum password complexity and change of characters when new passwords are created.</t>
  </si>
  <si>
    <t>[a] Are password complexity requirements defined?</t>
  </si>
  <si>
    <t>[b] Are password change of character requirements defined?</t>
  </si>
  <si>
    <t>[c] Are minimum password complexity requirements as defined enforced when new passwords are created?</t>
  </si>
  <si>
    <t>[d] Are minimum password change of character requirements as defined enforced when new passwords are created?</t>
  </si>
  <si>
    <t>IA.L2-3.5.8 - Prohibit password reuse for a specified number of generations.</t>
  </si>
  <si>
    <t>[a] Is the number of generations during which a password cannot be reused specified?</t>
  </si>
  <si>
    <t>[b] Is reuse of passwords prohibited during the specified number of generations?</t>
  </si>
  <si>
    <t>IA.L2-3.5.9 - Allow temporary password use for system logons with an immediate change to a permanent password.</t>
  </si>
  <si>
    <t>[a] Is an immediate change to a permanent password required when a temporary password is used for system logon?</t>
  </si>
  <si>
    <t>LEVEL: 2  DOMAIN: INCIDENT RESPONSE</t>
  </si>
  <si>
    <t>IR.L2-3.6.1 - Establish an operational incident-handling capability for organizational systems that includes preparation, detection, analysis, containment, recovery, and user response activities.</t>
  </si>
  <si>
    <t>[a] Is an operational incident-handling capability established?</t>
  </si>
  <si>
    <t>[b] Does the operational incident-handling capability include preparation?</t>
  </si>
  <si>
    <t>[c] Does the operational incident-handling capability include detection?</t>
  </si>
  <si>
    <t>[d] Does the operational incident-handling capability include analysis?</t>
  </si>
  <si>
    <t>[e] Does the operational incident-handling capability include containment?</t>
  </si>
  <si>
    <t>[f] Does the operational incident-handling capability include recovery?</t>
  </si>
  <si>
    <t>[g] Does the operational incident-handling capability include user response activities?</t>
  </si>
  <si>
    <t>IR.L2-3.6.2 - Track, document, and report incidents to designated officials and/or authorities both internal and external to the organization.</t>
  </si>
  <si>
    <t>[a] Are incidents tracked?</t>
  </si>
  <si>
    <t>[b] Are incidents documented?</t>
  </si>
  <si>
    <t>[c] Are authorities to whom incidents are to be reported identified?</t>
  </si>
  <si>
    <t>[d] Are organizational officials to whom incidents are to be reported identified?</t>
  </si>
  <si>
    <t>[e] Are identified authorities notified of incidents?</t>
  </si>
  <si>
    <t>[f] Are identified organizational officials notified of incidents?</t>
  </si>
  <si>
    <t>IR.L2-3.6.3 - Test the organizational incident response capability.</t>
  </si>
  <si>
    <t>[a] Is the incident response capability tested?</t>
  </si>
  <si>
    <t>LEVEL: 2  DOMAIN: MAINTENANCE</t>
  </si>
  <si>
    <t>MA.L2-3.7.1 - Perform maintenance on organizational systems.</t>
  </si>
  <si>
    <t>[a] Is system maintenance performed?</t>
  </si>
  <si>
    <t>MA.L2-3.7.2 - Provide controls on the tools, techniques, mechanisms, and personnel used to conduct system maintenance.</t>
  </si>
  <si>
    <t>[a] Are tools used to conduct system maintenance controlled?</t>
  </si>
  <si>
    <t>[b] Are techniques used to conduct system maintenance controlled?</t>
  </si>
  <si>
    <t>[c] Are mechanisms used to conduct system maintenance controlled?</t>
  </si>
  <si>
    <t>[d] Are personnel used to conduct system maintenance controlled?</t>
  </si>
  <si>
    <t>MA.L2-3.7.3 - Ensure equipment removed for off-site maintenance is sanitized of any CUI.</t>
  </si>
  <si>
    <t>[a] Is equipment to be removed from organizational spaces for off-site maintenance sanitized of any CUI?</t>
  </si>
  <si>
    <t>MA.L2-3.7.4 - Check media containing diagnostic and test programs for malicious code before the media are used in organizational systems.</t>
  </si>
  <si>
    <t>[a] Are media containing diagnostic and test programs checked for malicious code before being used in organizational systems that process, store, or transmit CUI?</t>
  </si>
  <si>
    <t>MA.L2-3.7.5 - Require multi-factor authentication to establish non-local maintenance sessions via external network connections and terminate such connections when nonlocal maintenance is complete.</t>
  </si>
  <si>
    <t>[a] Is multifactor authentication used to establish nonlocal maintenance sessions via external network connections?</t>
  </si>
  <si>
    <t>[b] Are nonlocal maintenance sessions established via external network connections terminated when nonlocal maintenance is complete?</t>
  </si>
  <si>
    <t>MA.L2-3.7.6 - Supervise the maintenance activities of personnel without required access authorization.</t>
  </si>
  <si>
    <t>[a] Are maintenance personnel without required access authorization supervised during maintenance activities?</t>
  </si>
  <si>
    <t>LEVEL: 2  DOMAIN: MEDIA PROTECTION</t>
  </si>
  <si>
    <t>MP.L1-3.8.3 - Sanitize or destroy information system media containing Federal Contract Information before disposal or release for reuse.</t>
  </si>
  <si>
    <t>[a] Is system media containing FCI sanitized or destroyed before disposal?</t>
  </si>
  <si>
    <t>[b] Is system media containing FCI sanitized before it is released for reuse?</t>
  </si>
  <si>
    <t>MP.L2-3.8.1 - Protect (i.e., physically control and securely store) system media containing CUI, both paper and digital.</t>
  </si>
  <si>
    <t>[a] Is paper media containing CUI physically controlled?</t>
  </si>
  <si>
    <t>[b] Is digital media containing CUI physically controlled?</t>
  </si>
  <si>
    <t>[c] Is paper media containing CUI securely stored?</t>
  </si>
  <si>
    <t>[d] Is digital media containing CUI securely stored?</t>
  </si>
  <si>
    <t>MP.L2-3.8.2 - Limit access to CUI on system media to authorized users.</t>
  </si>
  <si>
    <t>[a] Is access to CUI on system media limited to authorized users?</t>
  </si>
  <si>
    <t>MP.L2-3.8.4 - Mark media with necessary CUI markings and distribution limitations.</t>
  </si>
  <si>
    <t>[a] Is media containing CUI marked with applicable CUI markings?</t>
  </si>
  <si>
    <t>[b] Is media containing CUI marked with distribution limitations?</t>
  </si>
  <si>
    <t>MP.L2-3.8.5 - Control access to media containing CUI and maintain accountability for media during transport outside of controlled areas.</t>
  </si>
  <si>
    <t>[a] Is access to media containing CUI controlled?</t>
  </si>
  <si>
    <t>[b] Is accountability for media containing CUI maintained during transport outside of controlled areas?</t>
  </si>
  <si>
    <t>MP.L2-3.8.6 - Implement cryptographic mechanisms to protect the confidentiality of CUI stored on digital media during transport unless otherwise protected by alternative physical safeguards.</t>
  </si>
  <si>
    <t>[a] Is the confidentiality of CUI stored on digital media protected during transport using cryptographic mechanisms or alternative physical safeguards?</t>
  </si>
  <si>
    <t>MP.L2-3.8.7 - Control the use of removable media on system components.</t>
  </si>
  <si>
    <t>[a] Is the use of removable media on system components controlled?</t>
  </si>
  <si>
    <t>MP.L2-3.8.8 - Prohibit the use of portable storage devices when such devices have no identifiable owner.</t>
  </si>
  <si>
    <t>[a] Is the use of portable storage devices prohibited when such devices have no identifiable owner?</t>
  </si>
  <si>
    <t>MP.L2-3.8.9 - Protect the confidentiality of backup CUI at storage locations.</t>
  </si>
  <si>
    <t>[a] Is the confidentiality of backup CUI protected at storage locations?</t>
  </si>
  <si>
    <t>LEVEL: 2  DOMAIN: PERSONNEL SECURITY</t>
  </si>
  <si>
    <t>PS.L2-3.9.1 - Screen individuals prior to authorizing access to organizational systems containing CUI.</t>
  </si>
  <si>
    <t>[a] Are individuals screened prior to authorizing access to organizational systems containing CUI?</t>
  </si>
  <si>
    <t>PS.L2-3.9.2 - Ensure that organizational systems containing CUI are protected during and after personnel actions such as terminations and transfers.</t>
  </si>
  <si>
    <t>[a] Is a policy and/or process for terminating system access and any credentials coincident with personnel actions established?</t>
  </si>
  <si>
    <t>[b] Are system access and credentials terminated consistent with personnel actions such as termination or transfer?</t>
  </si>
  <si>
    <t>[c] Is the system protected during and after personnel transfer actions?</t>
  </si>
  <si>
    <t>LEVEL: 2  DOMAIN: PHYSICAL PROTECTION</t>
  </si>
  <si>
    <t>PE.L1-3.10.1 - Limit Physical access to organizational information systems, equipment, and the respective operating environments to authorized individuals.</t>
  </si>
  <si>
    <t>[a] Are authorized individuals allowed physical access identified?</t>
  </si>
  <si>
    <t>[b] Is physical access to organizational systems limited to authorized individuals?</t>
  </si>
  <si>
    <t>[c] Is physical access to equipment limited to authorized individuals?</t>
  </si>
  <si>
    <t>[d] Is physical access to operating environments limited to authorized individuals?</t>
  </si>
  <si>
    <t>PE.L1-3.10.3 - Escort visitors and monitor visitor activity.</t>
  </si>
  <si>
    <t>[a] Are visitors escorted?</t>
  </si>
  <si>
    <t>[b] Is visitor activity monitored?</t>
  </si>
  <si>
    <t>PE.L1-3.10.4 - Maintain audit logs of physical access.</t>
  </si>
  <si>
    <t>[a] Are audit logs of physical access maintained?</t>
  </si>
  <si>
    <t>PE.L1-3.10.5 - Control and manage physical access devices.</t>
  </si>
  <si>
    <t>[a] Are physical access devices identified?</t>
  </si>
  <si>
    <t>[b] Are physical access devices controlled?</t>
  </si>
  <si>
    <t>[c] Are physical access devices managed?</t>
  </si>
  <si>
    <t>PE.L2-3.10.2 -  Protect and monitor the physical facility and support infrastructure for organizational systems.</t>
  </si>
  <si>
    <t>[a] Is the physical facility where organizational systems reside protected?</t>
  </si>
  <si>
    <t>[b] Is the support infrastructure for organizational systems protected?</t>
  </si>
  <si>
    <t>[c] Is the physical facility where organizational systems reside monitored?</t>
  </si>
  <si>
    <t>[d] Is the support infrastructure for organizational systems monitored?</t>
  </si>
  <si>
    <t>PE.L2-3.10.6 - Enforce safeguarding measures for CUI at alternate work sites.</t>
  </si>
  <si>
    <t>[a] Are safeguarding measures for CUI defined for alternate work sites?</t>
  </si>
  <si>
    <t>[b] Are safeguarding measures for CUI enforced for alternate work sites?</t>
  </si>
  <si>
    <t>LEVEL: 2  DOMAIN: RISK ASSESSMENT</t>
  </si>
  <si>
    <t xml:space="preserve">RA.L2-3.11.1 - Periodically assess the risk to organizational operations (including mission, functions, image, or reputation), organizational assets, and individuals, resulting from the operation of organizational systems and the associated processing, storage, or transmission of CUI.
 </t>
  </si>
  <si>
    <t>[a] Is the frequency to assess risk to organizational operations, organizational assets, and individuals defined?</t>
  </si>
  <si>
    <t>[b] Is risk to organizational operations, organizational assets, and individuals resulting from the operation of an organizational system that processes, stores, or transmits CUI is assessed with the defined frequency?</t>
  </si>
  <si>
    <t>RA.L2-3.11.2 - Scan for vulnerabilities in organizational systems and applications periodically and when new vulnerabilities affecting those systems and applications are identified.</t>
  </si>
  <si>
    <t>[a] Is the frequency to scan for vulnerabilities in organizational systems and applications defined?</t>
  </si>
  <si>
    <t>[b] Are vulnerability scans performed on organizational systems with the defined frequency?</t>
  </si>
  <si>
    <t>[c] Are vulnerability scans performed on applications with the defined frequency?</t>
  </si>
  <si>
    <t>[d] Are vulnerability scans performed on organizational systems when new vulnerabilities are identified?</t>
  </si>
  <si>
    <t>[e] Are vulnerability scans performed on applications when new vulnerabilities are identified?</t>
  </si>
  <si>
    <t>RA.L2-3.11.3 - Remediate vulnerabilities in accordance with risk assessments.</t>
  </si>
  <si>
    <t>[a] Are vulnerabilities identified?</t>
  </si>
  <si>
    <t>[b] Are vulnerabilities remediated in accordance with risk assessments?</t>
  </si>
  <si>
    <t>LEVEL: 2  DOMAIN: SECURITY ASSESSMENT</t>
  </si>
  <si>
    <t>CA.L2-3.12.1 - Periodically assess the security controls in organizational systems to determine if the controls are effective in their application.</t>
  </si>
  <si>
    <t>[a] Is the frequency of security control assessments defined?</t>
  </si>
  <si>
    <t>[b] Are security controls assessed with the defined frequency to determine if the controls are effective in their application?</t>
  </si>
  <si>
    <t>CA.L2-3.12.2 - Develop and implement plans of action designed to correct deficiencies and reduce or eliminate vulnerabilities in organizational systems.</t>
  </si>
  <si>
    <t>[a] Are deficiencies and vulnerabilities to be addressed by the plan of action identified?</t>
  </si>
  <si>
    <t>[b] Is a plan of action developed to correct identified deficiencies and reduce or eliminate identified vulnerabilities?</t>
  </si>
  <si>
    <t>[c] Is the plan of action implemented to correct identified deficiencies and reduce or eliminate identified vulnerabilities?</t>
  </si>
  <si>
    <t>CA.L2-3.12.3 - Monitor security controls on an ongoing basis to ensure the continued effectiveness of the controls.</t>
  </si>
  <si>
    <t>[a] Are security controls monitored on an ongoing basis to ensure the continued effectiveness of those controls?</t>
  </si>
  <si>
    <t>CA.L2-3.12.4 - Develop, document, and periodically update system security plans that describe system boundaries, system environments of operation, how security requirements are implemented, and the relationships with or connections to other systems.</t>
  </si>
  <si>
    <t>[a] Is a system security plan developed?</t>
  </si>
  <si>
    <t>[b] Is the system boundary described and documented in the system security plan?</t>
  </si>
  <si>
    <t>[c] Is the system environment of operation described and documented in the system security plan?</t>
  </si>
  <si>
    <t>[d] Are the security requirements identified and approved by the designated authority as non-applicable identified?</t>
  </si>
  <si>
    <t>[e] Is the method of security requirement implementation described and documented in the system security plan?</t>
  </si>
  <si>
    <t>[f] Is the relationship with or connection to other systems described and documented in the system security plan?</t>
  </si>
  <si>
    <t>[g] Is the frequency to update the system security plan defined?</t>
  </si>
  <si>
    <t>[h] Is the system security plan updated with the defined frequency?</t>
  </si>
  <si>
    <t>LEVEL: 2  DOMAIN: SYSTEM AND INFORMATION INTEGRITY</t>
  </si>
  <si>
    <t>SI.L1-3.14.1 - Identify, report, and correct information and information system flaws in a timely manner.</t>
  </si>
  <si>
    <t>[a] Is the time within which to identify system flaws specified?</t>
  </si>
  <si>
    <t>[b] Are system flaws identified within the specified time frame?</t>
  </si>
  <si>
    <t>[c] Is the time within which to report system flaws specified?</t>
  </si>
  <si>
    <t>[d] Are system flaws reported within the specified time frame?</t>
  </si>
  <si>
    <t>[e] Is the time within which to correct system flaws specified?</t>
  </si>
  <si>
    <t>[f] Are system flaws corrected within the specified time frame?</t>
  </si>
  <si>
    <t>SI.L1-3.14.2 - Provide protection from malicious code at appropriate locations within organizational information systems.</t>
  </si>
  <si>
    <t>[a] Are designated locations for malicious code protection identified?</t>
  </si>
  <si>
    <t>[b] Is protection from malicious code at designated locations provided?</t>
  </si>
  <si>
    <t>SI.L1-3.14.4 - Update malicious code protection mechanisms when new releases are available.</t>
  </si>
  <si>
    <t>[a] Are malicious code protection mechanisms updated when new releases are available?</t>
  </si>
  <si>
    <t>SI.L1-3.14.5 - Perform periodic scans of the information system and real-time scans of files from external sources as files are downloaded, opened, or executed.</t>
  </si>
  <si>
    <t>[a] Is the frequency for malicious code scans defined?</t>
  </si>
  <si>
    <t>[b] Are malicious code scans performed with the defined frequency?</t>
  </si>
  <si>
    <t>[c] Are real-time malicious code scans of files from external sources performed as files are downloaded, opened, or executed?</t>
  </si>
  <si>
    <t>SI.L2-3.14.3 - Monitor system security alerts and advisories and take action in response.</t>
  </si>
  <si>
    <t>[a] Are response actions to system security alerts and advisories identified?</t>
  </si>
  <si>
    <t>[b] Are system security alerts and advisories monitored?</t>
  </si>
  <si>
    <t>[c] Are actions in response to system security alerts and advisories taken?</t>
  </si>
  <si>
    <t>SI.L2-3.14.6 - Monitor organizational systems, including inbound and outbound communications traffic, to detect attacks and indicators of potential attacks.</t>
  </si>
  <si>
    <t>[a] Is the system monitored to detect attacks and indicators of potential attacks?</t>
  </si>
  <si>
    <t>[b] Is inbound communications traffic monitored to detect attacks and indicators of potential attacks?</t>
  </si>
  <si>
    <t>[c] Is outbound communications traffic monitored to detect attacks and indicators of potential attacks?</t>
  </si>
  <si>
    <t>SI.L2-3.14.7 - Identify unauthorized use of organizational systems.</t>
  </si>
  <si>
    <t>[a] Is authorized use of the system defined?</t>
  </si>
  <si>
    <t>[b] Is unauthorized use of the system identified?</t>
  </si>
  <si>
    <t>LEVEL: 2  DOMAIN: SYSTEMS AND COMMUNICATIONS PROTECTIONS</t>
  </si>
  <si>
    <t>SC.L1-3.13.1 - Monitor, control, and protect organizational communications (i.e., information transmitted or received by organizational information systems) at the external boundaries and key internal boundaries of the information systems.</t>
  </si>
  <si>
    <t>[a] Is the external system boundary defined?</t>
  </si>
  <si>
    <t>[b] Are key internal system boundaries defined?</t>
  </si>
  <si>
    <t>[c] Are communications monitored at the external system boundary?</t>
  </si>
  <si>
    <t>[d] Are communications monitored at key internal boundaries?</t>
  </si>
  <si>
    <t>[e] Are communications controlled at the external system boundary?</t>
  </si>
  <si>
    <t>[f] Are communications controlled at key internal boundaries?</t>
  </si>
  <si>
    <t>[g] Are communications protected at the external system boundary?</t>
  </si>
  <si>
    <t>[h] Are communications protected at key internal boundaries?</t>
  </si>
  <si>
    <t>SC.L1-3.13.5 - Implement subnetworks for publicly accessible systems components that are physically or logically separated from internal networks.</t>
  </si>
  <si>
    <t>[a] Are publicly accessible system components identified?</t>
  </si>
  <si>
    <t>[b] Are subnetworks for publicly accessible system components physically or logically separated from internal networks?</t>
  </si>
  <si>
    <t>SC.L2-3.13.10 - Establish and manage cryptographic keys for cryptography employed in organizational systems.</t>
  </si>
  <si>
    <t>[a] Are cryptographic keys established whenever cryptography is employed?</t>
  </si>
  <si>
    <t>[b] Are cryptographic keys managed whenever cryptography is employed?</t>
  </si>
  <si>
    <t>SC.L2-3.13.11 - Employ FIPS-validated cryptography when used to protect the confidentiality of CUI.</t>
  </si>
  <si>
    <t>[a] Is FIPS-validated cryptography employed to protect the confidentiality of CUI?</t>
  </si>
  <si>
    <t>SC.L2-3.13.12 - Prohibit remote activation of collaborative computing devices and provide indication of devices in use to users present at the device.</t>
  </si>
  <si>
    <t>[a] Are collaborative computing devices identified?</t>
  </si>
  <si>
    <t>[b] Do collaborative computing devices provide indication to users of devices in use?</t>
  </si>
  <si>
    <t>[c] Is remote activation of collaborative computing devices prohibited?</t>
  </si>
  <si>
    <t>SC.L2-3.13.13 - Control and monitor the use of mobile code.</t>
  </si>
  <si>
    <t>[a] Is use of mobile code controlled?</t>
  </si>
  <si>
    <t>[b] Is use of mobile code monitored?</t>
  </si>
  <si>
    <t>SC.L2-3.13.14 - Control and monitor the use of Voice over Internet Protocol (VoIP) technologies.</t>
  </si>
  <si>
    <t>[a] Is use of Voice over Internet Protocol (VoIP) technologies controlled?</t>
  </si>
  <si>
    <t>[b] Is use of Voice over Internet Protocol (VoIP) technologies monitored?</t>
  </si>
  <si>
    <t>SC.L2-3.13.15 - Protect the authenticity of communications sessions.</t>
  </si>
  <si>
    <t>[a] Is the authenticity of communications sessions protected?</t>
  </si>
  <si>
    <t>SC.L2-3.13.16 - Protect the confidentiality of CUI at rest.</t>
  </si>
  <si>
    <t>[a] Is the confidentiality of CUI at rest protected?</t>
  </si>
  <si>
    <t>SC.L2-3.13.2 - Employ architectural designs, software development techniques, and systems engineering principles that promote effective information security within organizational systems.</t>
  </si>
  <si>
    <t>[a] Are architectural designs that promote effective information security are identified?</t>
  </si>
  <si>
    <t>[b] Are software development techniques that promote effective information security identified?</t>
  </si>
  <si>
    <t>[c] Are systems engineering principles that promote effective information security identified?</t>
  </si>
  <si>
    <t>[d] Are identified architectural designs that promote effective information security employed?</t>
  </si>
  <si>
    <t xml:space="preserve">[e] Are identified software development techniques that promote effective information security employed? </t>
  </si>
  <si>
    <t>[f] Are identified systems engineering principles that promote effective information security employed?</t>
  </si>
  <si>
    <t>SC.L2-3.13.3 - Separate user functionality from system management functionality.</t>
  </si>
  <si>
    <t>[a] Is user functionality identified?</t>
  </si>
  <si>
    <t>[b] Is system management functionality identified?</t>
  </si>
  <si>
    <t>[c] Is user functionality separated from system management functionality?</t>
  </si>
  <si>
    <t>SC.L2-3.13.4 - Prevent unauthorized and unintended information transfer via shared system resources.</t>
  </si>
  <si>
    <t>[a] Is unauthorized and unintended information transfer via shared system resources prevented?</t>
  </si>
  <si>
    <t>SC.L2-3.13.6 - Deny network communications traffic by default and allow network communications traffic by exception (i.e., deny all, permit by exception).</t>
  </si>
  <si>
    <t>[a] Is network communications traffic denied by default?</t>
  </si>
  <si>
    <t>[b] Is network communications traffic allowed by exception?</t>
  </si>
  <si>
    <t>SC.L2-3.13.7 - Prevent remote devices from simultaneously establishing non-remote connections with organizational systems and communicating via some other connection to resources in external networks (i.e., split tunneling).</t>
  </si>
  <si>
    <t>[a] Are remote devices prevented from simultaneously establishing non-remote connections with the system and communicating via some other connection to resources in external networks (i.e., split tunneling)?</t>
  </si>
  <si>
    <t>SC.L2-3.13.8 - Implement cryptographic mechanisms to prevent unauthorized disclosure of CUI during transmission unless otherwise protected by alternative physical safeguards.</t>
  </si>
  <si>
    <t>[a] Are cryptographic mechanisms intended to prevent unauthorized disclosure of CUI  identified?</t>
  </si>
  <si>
    <t>[b] Are alternative physical safeguards intended to prevent unauthorized disclosure of CUI  identified?</t>
  </si>
  <si>
    <t>[c] Are either cryptographic mechanisms or alternative physical safeguards implemented to prevent unauthorized disclosure of CUI during transmission?</t>
  </si>
  <si>
    <t>SC.L2-3.13.9 - Terminate network connections associated with communications sessions at the end of the sessions or after a defined period of inactivity.</t>
  </si>
  <si>
    <t>[a] Is a period of inactivity to terminate network connections associated with communications sessions defined?</t>
  </si>
  <si>
    <t>[b] Are network connections associated with communications sessions terminated at the end of the sessions?</t>
  </si>
  <si>
    <t>[c] Are network connections associated with communications sessions terminated after the defined period of inactivity?</t>
  </si>
  <si>
    <t>﻿Day of Year</t>
  </si>
  <si>
    <t>multiplier</t>
  </si>
  <si>
    <t>﻿JSON Field Names</t>
  </si>
  <si>
    <t>code</t>
  </si>
  <si>
    <t>UHNR</t>
  </si>
  <si>
    <t>TVBY</t>
  </si>
  <si>
    <t>OVYH</t>
  </si>
  <si>
    <t>FGRS</t>
  </si>
  <si>
    <t>BDEH</t>
  </si>
  <si>
    <t>995-Are Processes Optimized across Orgs?</t>
  </si>
  <si>
    <t>CAFZ</t>
  </si>
  <si>
    <t>996-Are Processes Reviewed and Measured?</t>
  </si>
  <si>
    <t>FBWR</t>
  </si>
  <si>
    <t>997-Are Plans Created, Maintained &amp; Resourced?</t>
  </si>
  <si>
    <t>AQUR</t>
  </si>
  <si>
    <t>998-Are Practice Implementations Documented?</t>
  </si>
  <si>
    <t>UTJC</t>
  </si>
  <si>
    <t>999-Is a Policy Defined for this Domain?</t>
  </si>
  <si>
    <t>BCIJ</t>
  </si>
  <si>
    <t>Access Control</t>
  </si>
  <si>
    <t>OYKU</t>
  </si>
  <si>
    <t>Asset Management</t>
  </si>
  <si>
    <t>UNQP</t>
  </si>
  <si>
    <t>Audit and Accountability</t>
  </si>
  <si>
    <t>QZDC</t>
  </si>
  <si>
    <t>Awareness and Training</t>
  </si>
  <si>
    <t>MAWQ</t>
  </si>
  <si>
    <t>CUNM</t>
  </si>
  <si>
    <t>Configuration Management</t>
  </si>
  <si>
    <t>ICLL</t>
  </si>
  <si>
    <t>DATE CREATED</t>
  </si>
  <si>
    <t>ACBJ</t>
  </si>
  <si>
    <t>Documentation_Bar_Chart</t>
  </si>
  <si>
    <t>UEGA</t>
  </si>
  <si>
    <t>Documentation_Pie_Chart</t>
  </si>
  <si>
    <t>JYTF</t>
  </si>
  <si>
    <t>RXQA</t>
  </si>
  <si>
    <t>Identification and Authentication</t>
  </si>
  <si>
    <t>HTWU</t>
  </si>
  <si>
    <t>Incident Response</t>
  </si>
  <si>
    <t>ZEIF</t>
  </si>
  <si>
    <t>TCFN</t>
  </si>
  <si>
    <t>LEVEL</t>
  </si>
  <si>
    <t>MKOW</t>
  </si>
  <si>
    <t>Maintenance</t>
  </si>
  <si>
    <t>SOGW</t>
  </si>
  <si>
    <t>Media Protection</t>
  </si>
  <si>
    <t>GIYQ</t>
  </si>
  <si>
    <t>Metadata</t>
  </si>
  <si>
    <t>JVOA</t>
  </si>
  <si>
    <t>MDBV</t>
  </si>
  <si>
    <t>BCIX</t>
  </si>
  <si>
    <t>CYPR</t>
  </si>
  <si>
    <t>OVERALL SCORE</t>
  </si>
  <si>
    <t>RPBF</t>
  </si>
  <si>
    <t>DKPU</t>
  </si>
  <si>
    <t>HIUW</t>
  </si>
  <si>
    <t>Personnel Security</t>
  </si>
  <si>
    <t>WYHN</t>
  </si>
  <si>
    <t>Physical Protection</t>
  </si>
  <si>
    <t>ZMGD</t>
  </si>
  <si>
    <t>Practices_Itemized_By_Domain_Bar_Chart</t>
  </si>
  <si>
    <t>BDYR</t>
  </si>
  <si>
    <t>Practices_Itemized_By_Domain_Pie_Chart</t>
  </si>
  <si>
    <t>DVEQ</t>
  </si>
  <si>
    <t>Practices_Summarized_By_Domain_Bar_Chart</t>
  </si>
  <si>
    <t>DPMW</t>
  </si>
  <si>
    <t>Practices_Summarized_By_Domain_Pie_Chart</t>
  </si>
  <si>
    <t>HTCG</t>
  </si>
  <si>
    <t>Processes_by_Domains_Bar_Chart</t>
  </si>
  <si>
    <t>WFUX</t>
  </si>
  <si>
    <t>Processes_by_Process_Type_Bar_Chart</t>
  </si>
  <si>
    <t>DIOV</t>
  </si>
  <si>
    <t>Processes_Pie_Chart</t>
  </si>
  <si>
    <t>FXZV</t>
  </si>
  <si>
    <t>Recovery</t>
  </si>
  <si>
    <t>GQFB</t>
  </si>
  <si>
    <t>Risk Management</t>
  </si>
  <si>
    <t>INSK</t>
  </si>
  <si>
    <t>Security Assessment</t>
  </si>
  <si>
    <t>LWUX</t>
  </si>
  <si>
    <t>Situational Awareness</t>
  </si>
  <si>
    <t>JPVB</t>
  </si>
  <si>
    <t>System and Information Integrity</t>
  </si>
  <si>
    <t>JOXB</t>
  </si>
  <si>
    <t>Systems and Communications Protections</t>
  </si>
  <si>
    <t>XETP</t>
  </si>
  <si>
    <t>WORKBOOK VERSION</t>
  </si>
  <si>
    <t>DGEL</t>
  </si>
  <si>
    <t>GUVT</t>
  </si>
  <si>
    <t>Today's Date</t>
  </si>
  <si>
    <t>Day of Year as Integer</t>
  </si>
  <si>
    <t>multiplier for today</t>
  </si>
  <si>
    <t>Risk Assessment</t>
  </si>
  <si>
    <t>Data for Pie Chart</t>
  </si>
  <si>
    <t># of practices</t>
  </si>
  <si>
    <t>range_midpoint</t>
  </si>
  <si>
    <t>sub_score</t>
  </si>
  <si>
    <t>sum_of_sub_scores</t>
  </si>
  <si>
    <t>sum_div_into_total_practices</t>
  </si>
  <si>
    <t>short label</t>
  </si>
  <si>
    <t>number transformed for json</t>
  </si>
  <si>
    <t>json_fragment_1</t>
  </si>
  <si>
    <t>json_fragment_2</t>
  </si>
  <si>
    <t>json</t>
  </si>
  <si>
    <t>CMMC Self-Assessment DASHBOARD - for PRACTICES</t>
  </si>
  <si>
    <t>Data for Bar Chart - Unsorted</t>
  </si>
  <si>
    <t>Sort Order</t>
  </si>
  <si>
    <t>Rank</t>
  </si>
  <si>
    <t>Repeats</t>
  </si>
  <si>
    <t>Rank + Repeat</t>
  </si>
  <si>
    <t>Data for Bar Charts - Sorted Using Older Functions</t>
  </si>
  <si>
    <t>Sorted Order</t>
  </si>
  <si>
    <t>Unsorted Order</t>
  </si>
  <si>
    <t>Obfuscated Label</t>
  </si>
  <si>
    <t>JSON Fragment</t>
  </si>
  <si>
    <t>Practices by CMMC Domain</t>
  </si>
  <si>
    <t>AC.L1-3.1.1</t>
  </si>
  <si>
    <t>AC.L1-3.1.2</t>
  </si>
  <si>
    <t>AC.L1-3.1.20</t>
  </si>
  <si>
    <t>AC.L1-3.1.22</t>
  </si>
  <si>
    <t>AC.L2-3.1.10</t>
  </si>
  <si>
    <t>AC.L2-3.1.11</t>
  </si>
  <si>
    <t>AC.L2-3.1.12</t>
  </si>
  <si>
    <t>AC.L2-3.1.13</t>
  </si>
  <si>
    <t>AC.L2-3.1.14</t>
  </si>
  <si>
    <t>AC.L2-3.1.15</t>
  </si>
  <si>
    <t>AC.L2-3.1.16</t>
  </si>
  <si>
    <t>AC.L2-3.1.17</t>
  </si>
  <si>
    <t>AC.L2-3.1.18</t>
  </si>
  <si>
    <t>AC.L2-3.1.19</t>
  </si>
  <si>
    <t>AC.L2-3.1.21</t>
  </si>
  <si>
    <t>AC.L2-3.1.3</t>
  </si>
  <si>
    <t>AC.L2-3.1.4</t>
  </si>
  <si>
    <t>AC.L2-3.1.5</t>
  </si>
  <si>
    <t>AC.L2-3.1.6</t>
  </si>
  <si>
    <t>AC.L2-3.1.7</t>
  </si>
  <si>
    <t>AC.L2-3.1.8</t>
  </si>
  <si>
    <t>AC.L2-3.1.9</t>
  </si>
  <si>
    <t>AU.L2-3.3.1</t>
  </si>
  <si>
    <t>AU.L2-3.3.2</t>
  </si>
  <si>
    <t>AU.L2-3.3.3</t>
  </si>
  <si>
    <t>AU.L2-3.3.4</t>
  </si>
  <si>
    <t>AU.L2-3.3.5</t>
  </si>
  <si>
    <t>AU.L2-3.3.6</t>
  </si>
  <si>
    <t>AU.L2-3.3.7</t>
  </si>
  <si>
    <t>AU.L2-3.3.8</t>
  </si>
  <si>
    <t>AU.L2-3.3.9</t>
  </si>
  <si>
    <t>AT.L2-3.2.1</t>
  </si>
  <si>
    <t>AT.L2-3.2.2</t>
  </si>
  <si>
    <t>AT.L2-3.2.3</t>
  </si>
  <si>
    <t>CM.L2-3.4.1</t>
  </si>
  <si>
    <t>CM.L2-3.4.2</t>
  </si>
  <si>
    <t>CM.L2-3.4.3</t>
  </si>
  <si>
    <t>CM.L2-3.4.4</t>
  </si>
  <si>
    <t>CM.L2-3.4.5</t>
  </si>
  <si>
    <t>CM.L2-3.4.6</t>
  </si>
  <si>
    <t>CM.L2-3.4.7</t>
  </si>
  <si>
    <t>CM.L2-3.4.8</t>
  </si>
  <si>
    <t>CM.L2-3.4.9</t>
  </si>
  <si>
    <t>IA.L1-3.5.1</t>
  </si>
  <si>
    <t>IA.L1-3.5.2</t>
  </si>
  <si>
    <t>IA.L2-3.5.10</t>
  </si>
  <si>
    <t>IA.L2-3.5.11</t>
  </si>
  <si>
    <t>IA.L2-3.5.3</t>
  </si>
  <si>
    <t>IA.L2-3.5.4</t>
  </si>
  <si>
    <t>IA.L2-3.5.5</t>
  </si>
  <si>
    <t>IA.L2-3.5.6</t>
  </si>
  <si>
    <t>IA.L2-3.5.7</t>
  </si>
  <si>
    <t>IA.L2-3.5.8</t>
  </si>
  <si>
    <t>IA.L2-3.5.9</t>
  </si>
  <si>
    <t>IR.L2-3.6.1</t>
  </si>
  <si>
    <t>IR.L2-3.6.2</t>
  </si>
  <si>
    <t>IR.L2-3.6.3</t>
  </si>
  <si>
    <t>MA.L2-3.7.1</t>
  </si>
  <si>
    <t>MA.L2-3.7.2</t>
  </si>
  <si>
    <t>MA.L2-3.7.3</t>
  </si>
  <si>
    <t>MA.L2-3.7.4</t>
  </si>
  <si>
    <t>MA.L2-3.7.5</t>
  </si>
  <si>
    <t>MA.L2-3.7.6</t>
  </si>
  <si>
    <t>MP.L1-3.8.3</t>
  </si>
  <si>
    <t>MP.L2-3.8.1</t>
  </si>
  <si>
    <t>MP.L2-3.8.2</t>
  </si>
  <si>
    <t>MP.L2-3.8.4</t>
  </si>
  <si>
    <t>MP.L2-3.8.5</t>
  </si>
  <si>
    <t>MP.L2-3.8.6</t>
  </si>
  <si>
    <t>MP.L2-3.8.7</t>
  </si>
  <si>
    <t>MP.L2-3.8.8</t>
  </si>
  <si>
    <t>MP.L2-3.8.9</t>
  </si>
  <si>
    <t>PS.L2-3.9.1</t>
  </si>
  <si>
    <t>PS.L2-3.9.2</t>
  </si>
  <si>
    <t>PE.L1-3.10.1</t>
  </si>
  <si>
    <t>PE.L1-3.10.3</t>
  </si>
  <si>
    <t>PE.L1-3.10.4</t>
  </si>
  <si>
    <t>PE.L1-3.10.5</t>
  </si>
  <si>
    <t>PE.L2-3.10.2</t>
  </si>
  <si>
    <t>PE.L2-3.10.6</t>
  </si>
  <si>
    <t>RA.L2-3.11.1</t>
  </si>
  <si>
    <t>RA.L2-3.11.2</t>
  </si>
  <si>
    <t>RA.L2-3.11.3</t>
  </si>
  <si>
    <t>CA.L2-3.12.1</t>
  </si>
  <si>
    <t>CA.L2-3.12.2</t>
  </si>
  <si>
    <t>CA.L2-3.12.3</t>
  </si>
  <si>
    <t>CA.L2-3.12.4</t>
  </si>
  <si>
    <t>SI.L1-3.14.1</t>
  </si>
  <si>
    <t>SI.L1-3.14.2</t>
  </si>
  <si>
    <t>SI.L1-3.14.4</t>
  </si>
  <si>
    <t>SI.L1-3.14.5</t>
  </si>
  <si>
    <t>SI.L2-3.14.3</t>
  </si>
  <si>
    <t>SI.L2-3.14.6</t>
  </si>
  <si>
    <t>SI.L2-3.14.7</t>
  </si>
  <si>
    <t>SC.L1-3.13.1</t>
  </si>
  <si>
    <t>SC.L1-3.13.5</t>
  </si>
  <si>
    <t>SC.L2-3.13.10</t>
  </si>
  <si>
    <t>SC.L2-3.13.11</t>
  </si>
  <si>
    <t>SC.L2-3.13.12</t>
  </si>
  <si>
    <t>SC.L2-3.13.13</t>
  </si>
  <si>
    <t>SC.L2-3.13.14</t>
  </si>
  <si>
    <t>SC.L2-3.13.15</t>
  </si>
  <si>
    <t>SC.L2-3.13.16</t>
  </si>
  <si>
    <t>SC.L2-3.13.2</t>
  </si>
  <si>
    <t>SC.L2-3.13.3</t>
  </si>
  <si>
    <t>SC.L2-3.13.4</t>
  </si>
  <si>
    <t>SC.L2-3.13.6</t>
  </si>
  <si>
    <t>SC.L2-3.13.7</t>
  </si>
  <si>
    <t>SC.L2-3.13.8</t>
  </si>
  <si>
    <t>SC.L2-3.13.9</t>
  </si>
  <si>
    <t>Data for Questions Status Pie Chart</t>
  </si>
  <si>
    <t>Dashboard for Practice Answers</t>
  </si>
  <si>
    <t>CMMC Self-Assessment DASHBOARD- OBJECTIVE EVIDENCE</t>
  </si>
  <si>
    <t>Objective Evidence by CMMC Domain</t>
  </si>
  <si>
    <t>Dashboard for Documentation Answers</t>
  </si>
  <si>
    <t>Documentation Status by CMMC Domain</t>
  </si>
  <si>
    <t>Status by Document Type</t>
  </si>
  <si>
    <t>999</t>
  </si>
  <si>
    <t>CMMC Self-Assessment List</t>
  </si>
  <si>
    <t>Practices with Status:</t>
  </si>
  <si>
    <t>COMPLETED</t>
  </si>
  <si>
    <t>Count of Practices with this Status:</t>
  </si>
  <si>
    <t>Currently running version of Excel supports the FILTER array function</t>
  </si>
  <si>
    <t>Documentation with Responses of COMPLETED</t>
  </si>
  <si>
    <t>PARTIALLY COMPLETED</t>
  </si>
  <si>
    <t>Documentation with Responses of PARTIALLY COMPLETED</t>
  </si>
  <si>
    <t>NOT YET STARTED</t>
  </si>
  <si>
    <t>Documentation with Responses of NOT YET STARTED</t>
  </si>
  <si>
    <t>NO ANSWER</t>
  </si>
  <si>
    <t>Documentation with Responses of NO ANSWER</t>
  </si>
  <si>
    <t>YES</t>
  </si>
  <si>
    <t>Practices with Responses of YES</t>
  </si>
  <si>
    <t>IT DOES NOT APPLY</t>
  </si>
  <si>
    <t>Practices with Responses of IT DOES NOT APPLY</t>
  </si>
  <si>
    <t>PARTIALLY</t>
  </si>
  <si>
    <t>Practices with Responses of PARTIALLY</t>
  </si>
  <si>
    <t>I HAVE DONE AN ALTERNATIVE APPROACH</t>
  </si>
  <si>
    <t>Practices with Responses of I HAVE DONE AN ALTERNATIVE APPROACH</t>
  </si>
  <si>
    <t>NO</t>
  </si>
  <si>
    <t>Practices with Responses of NO</t>
  </si>
  <si>
    <t>Practices with Responses of NO ANSWER</t>
  </si>
  <si>
    <t>ID for Lookup</t>
  </si>
  <si>
    <t>Tab</t>
  </si>
  <si>
    <t>Type</t>
  </si>
  <si>
    <t>Item ID</t>
  </si>
  <si>
    <t>Cell</t>
  </si>
  <si>
    <t>AC</t>
  </si>
  <si>
    <t>Documentation</t>
  </si>
  <si>
    <t>H75</t>
  </si>
  <si>
    <t>H80</t>
  </si>
  <si>
    <t>H91</t>
  </si>
  <si>
    <t>H40</t>
  </si>
  <si>
    <t>H110</t>
  </si>
  <si>
    <t>H63</t>
  </si>
  <si>
    <t>H123</t>
  </si>
  <si>
    <t>H96</t>
  </si>
  <si>
    <t>H18</t>
  </si>
  <si>
    <t>H23</t>
  </si>
  <si>
    <t>H140</t>
  </si>
  <si>
    <t>H102</t>
  </si>
  <si>
    <t>H58</t>
  </si>
  <si>
    <t>H135</t>
  </si>
  <si>
    <t>H85</t>
  </si>
  <si>
    <t>H145</t>
  </si>
  <si>
    <t>H68</t>
  </si>
  <si>
    <t>H116</t>
  </si>
  <si>
    <t>H51</t>
  </si>
  <si>
    <t>H128</t>
  </si>
  <si>
    <t>H46</t>
  </si>
  <si>
    <t>H32</t>
  </si>
  <si>
    <t>AT</t>
  </si>
  <si>
    <t>H16</t>
  </si>
  <si>
    <t>H22</t>
  </si>
  <si>
    <t>H27</t>
  </si>
  <si>
    <t>AU</t>
  </si>
  <si>
    <t>H35</t>
  </si>
  <si>
    <t>H65</t>
  </si>
  <si>
    <t>H60</t>
  </si>
  <si>
    <t>H45</t>
  </si>
  <si>
    <t>H29</t>
  </si>
  <si>
    <t>CA</t>
  </si>
  <si>
    <t>H20</t>
  </si>
  <si>
    <t>H24</t>
  </si>
  <si>
    <t>H14</t>
  </si>
  <si>
    <t>CM</t>
  </si>
  <si>
    <t>H34</t>
  </si>
  <si>
    <t>H74</t>
  </si>
  <si>
    <t>H50</t>
  </si>
  <si>
    <t>H30</t>
  </si>
  <si>
    <t>IA</t>
  </si>
  <si>
    <t>H67</t>
  </si>
  <si>
    <t>H21</t>
  </si>
  <si>
    <t>H41</t>
  </si>
  <si>
    <t>H15</t>
  </si>
  <si>
    <t>H26</t>
  </si>
  <si>
    <t>H37</t>
  </si>
  <si>
    <t>IR</t>
  </si>
  <si>
    <t>H19</t>
  </si>
  <si>
    <t>H28</t>
  </si>
  <si>
    <t>MA</t>
  </si>
  <si>
    <t>H13</t>
  </si>
  <si>
    <t>H33</t>
  </si>
  <si>
    <t>MP</t>
  </si>
  <si>
    <t>H43</t>
  </si>
  <si>
    <t>H39</t>
  </si>
  <si>
    <t>H25</t>
  </si>
  <si>
    <t>H47</t>
  </si>
  <si>
    <t>PE</t>
  </si>
  <si>
    <t>H38</t>
  </si>
  <si>
    <t>H31</t>
  </si>
  <si>
    <t>PS</t>
  </si>
  <si>
    <t>RA</t>
  </si>
  <si>
    <t>SC</t>
  </si>
  <si>
    <t>H82</t>
  </si>
  <si>
    <t>H92</t>
  </si>
  <si>
    <t>H86</t>
  </si>
  <si>
    <t>H77</t>
  </si>
  <si>
    <t>H54</t>
  </si>
  <si>
    <t>H73</t>
  </si>
  <si>
    <t>H98</t>
  </si>
  <si>
    <t>SI</t>
  </si>
  <si>
    <t>Practice</t>
  </si>
  <si>
    <t>H49</t>
  </si>
  <si>
    <t>H61</t>
  </si>
  <si>
    <t>H105</t>
  </si>
  <si>
    <t>H66</t>
  </si>
  <si>
    <t>H94</t>
  </si>
  <si>
    <t>H88</t>
  </si>
  <si>
    <t>H126</t>
  </si>
  <si>
    <t>H143</t>
  </si>
  <si>
    <t>H119</t>
  </si>
  <si>
    <t>H71</t>
  </si>
  <si>
    <t>H131</t>
  </si>
  <si>
    <t>H113</t>
  </si>
  <si>
    <t>H78</t>
  </si>
  <si>
    <t>H12</t>
  </si>
  <si>
    <t>H138</t>
  </si>
  <si>
    <t>H83</t>
  </si>
  <si>
    <t>H99</t>
  </si>
  <si>
    <t>H62</t>
  </si>
  <si>
    <t>H106</t>
  </si>
  <si>
    <t>H89</t>
  </si>
  <si>
    <t>H132</t>
  </si>
  <si>
    <t>H36</t>
  </si>
  <si>
    <t>H114</t>
  </si>
  <si>
    <t>H55</t>
  </si>
  <si>
    <t>H100</t>
  </si>
  <si>
    <t>H144</t>
  </si>
  <si>
    <t>H127</t>
  </si>
  <si>
    <t>H120</t>
  </si>
  <si>
    <t>H44</t>
  </si>
  <si>
    <t>H95</t>
  </si>
  <si>
    <t>H72</t>
  </si>
  <si>
    <t>H139</t>
  </si>
  <si>
    <t>H79</t>
  </si>
  <si>
    <t>H84</t>
  </si>
  <si>
    <t>H115</t>
  </si>
  <si>
    <t>H107</t>
  </si>
  <si>
    <t>H90</t>
  </si>
  <si>
    <t>H133</t>
  </si>
  <si>
    <t>H56</t>
  </si>
  <si>
    <t>H121</t>
  </si>
  <si>
    <t>H101</t>
  </si>
  <si>
    <t>H108</t>
  </si>
  <si>
    <t>H57</t>
  </si>
  <si>
    <t>H134</t>
  </si>
  <si>
    <t>H122</t>
  </si>
  <si>
    <t>H109</t>
  </si>
  <si>
    <t>H17</t>
  </si>
  <si>
    <t>H48</t>
  </si>
  <si>
    <t>H64</t>
  </si>
  <si>
    <t>H59</t>
  </si>
  <si>
    <t>H53</t>
  </si>
  <si>
    <t>H42</t>
  </si>
  <si>
    <t>H76</t>
  </si>
  <si>
    <t>H70</t>
  </si>
  <si>
    <t>H81</t>
  </si>
  <si>
    <t>H97</t>
  </si>
  <si>
    <t>Process</t>
  </si>
  <si>
    <t>H150</t>
  </si>
  <si>
    <t>H152</t>
  </si>
  <si>
    <t>H148</t>
  </si>
  <si>
    <t>H87</t>
  </si>
  <si>
    <t>H103</t>
  </si>
  <si>
    <t>Array Range</t>
  </si>
  <si>
    <t>Array Length</t>
  </si>
  <si>
    <t>IMPLEMENTATION DASHBOARD</t>
  </si>
  <si>
    <t>Domain</t>
  </si>
  <si>
    <t>800-171 Security Requirement</t>
  </si>
  <si>
    <t>CMMC 2.0 Practice</t>
  </si>
  <si>
    <t>Description</t>
  </si>
  <si>
    <t>3.1.12</t>
  </si>
  <si>
    <t>Control Remote Access</t>
  </si>
  <si>
    <t>3.3.1</t>
  </si>
  <si>
    <t>System Auditing</t>
  </si>
  <si>
    <t>3.3.3</t>
  </si>
  <si>
    <t>Event Review</t>
  </si>
  <si>
    <t>3.3.5</t>
  </si>
  <si>
    <t>Audit Correlation</t>
  </si>
  <si>
    <t>3.3.6</t>
  </si>
  <si>
    <t>Audit Reduction &amp; Reporting</t>
  </si>
  <si>
    <t>3.3.8</t>
  </si>
  <si>
    <t>Audit Protection</t>
  </si>
  <si>
    <t>3.3.9</t>
  </si>
  <si>
    <t>Audit Management</t>
  </si>
  <si>
    <t>3.13.1</t>
  </si>
  <si>
    <t>Boundary Protection</t>
  </si>
  <si>
    <t>3.13.6</t>
  </si>
  <si>
    <t>Net Comms by Exception</t>
  </si>
  <si>
    <t>3.14.3</t>
  </si>
  <si>
    <t>Security Alerts &amp; Adversaries</t>
  </si>
  <si>
    <t>3.14.6</t>
  </si>
  <si>
    <t>Monitor Comms for Attacks</t>
  </si>
  <si>
    <t>3.14.7</t>
  </si>
  <si>
    <t>Identify Unauthorized Use</t>
  </si>
  <si>
    <t>3.6.1</t>
  </si>
  <si>
    <t>Incident Handling</t>
  </si>
  <si>
    <t>3.6.2</t>
  </si>
  <si>
    <t>Incident Reporting</t>
  </si>
  <si>
    <t>3.6.3</t>
  </si>
  <si>
    <t>Incident Response Testing</t>
  </si>
  <si>
    <t>Summary</t>
  </si>
</sst>
</file>

<file path=xl/styles.xml><?xml version="1.0" encoding="utf-8"?>
<styleSheet xmlns="http://schemas.openxmlformats.org/spreadsheetml/2006/main">
  <fonts count="14">
    <font>
      <sz val="11"/>
      <color theme="1"/>
      <name val="Calibri"/>
      <family val="2"/>
      <scheme val="minor"/>
    </font>
    <font>
      <b/>
      <sz val="11"/>
      <color rgb="FFFF0000"/>
      <name val="Calibri"/>
      <family val="2"/>
      <scheme val="minor"/>
    </font>
    <font>
      <b/>
      <sz val="14"/>
      <color rgb="FFFFFFFF"/>
      <name val="Calibri"/>
      <family val="2"/>
      <scheme val="minor"/>
    </font>
    <font>
      <b/>
      <sz val="14"/>
      <color rgb="FF1D3862"/>
      <name val="Calibri"/>
      <family val="2"/>
      <scheme val="minor"/>
    </font>
    <font>
      <b/>
      <u/>
      <sz val="11"/>
      <color rgb="FF0000FF"/>
      <name val="Calibri"/>
      <family val="2"/>
      <scheme val="minor"/>
    </font>
    <font>
      <b/>
      <u/>
      <sz val="12"/>
      <color rgb="FF0000FF"/>
      <name val="Calibri"/>
      <family val="2"/>
      <scheme val="minor"/>
    </font>
    <font>
      <u/>
      <sz val="11"/>
      <color rgb="FF0000FF"/>
      <name val="Calibri"/>
      <family val="2"/>
      <scheme val="minor"/>
    </font>
    <font>
      <b/>
      <sz val="14"/>
      <color theme="1"/>
      <name val="Calibri"/>
      <family val="2"/>
      <scheme val="minor"/>
    </font>
    <font>
      <b/>
      <i/>
      <u/>
      <sz val="12"/>
      <color rgb="FF0000FF"/>
      <name val="Calibri"/>
      <family val="2"/>
      <scheme val="minor"/>
    </font>
    <font>
      <sz val="11"/>
      <color rgb="FFFFFFFF"/>
      <name val="Calibri"/>
      <family val="2"/>
      <scheme val="minor"/>
    </font>
    <font>
      <b/>
      <sz val="12"/>
      <color rgb="FFFFFFFF"/>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1D3862"/>
        <bgColor indexed="64"/>
      </patternFill>
    </fill>
    <fill>
      <patternFill patternType="solid">
        <fgColor rgb="FFF2F2F2"/>
        <bgColor indexed="64"/>
      </patternFill>
    </fill>
    <fill>
      <patternFill patternType="solid">
        <fgColor rgb="FFDDEBF6"/>
        <bgColor indexed="64"/>
      </patternFill>
    </fill>
    <fill>
      <patternFill patternType="solid">
        <fgColor rgb="FFA9EC9C"/>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8">
    <xf numFmtId="0" fontId="0" fillId="0" borderId="0" xfId="0"/>
    <xf numFmtId="0" fontId="1" fillId="0" borderId="0" xfId="0" applyFont="1"/>
    <xf numFmtId="0" fontId="2" fillId="2" borderId="0" xfId="0" applyFont="1" applyFill="1"/>
    <xf numFmtId="0" fontId="3" fillId="3" borderId="1" xfId="0" applyFont="1" applyFill="1" applyBorder="1"/>
    <xf numFmtId="0" fontId="4" fillId="0" borderId="0" xfId="0" applyFont="1" applyAlignment="1">
      <alignment wrapText="1"/>
    </xf>
    <xf numFmtId="0" fontId="5" fillId="0" borderId="2" xfId="0" applyFont="1" applyBorder="1" applyAlignment="1">
      <alignment horizontal="left" vertical="top" wrapText="1"/>
    </xf>
    <xf numFmtId="0" fontId="6" fillId="0" borderId="2" xfId="0" applyFont="1" applyBorder="1" applyAlignment="1">
      <alignment horizontal="left" vertical="top" wrapText="1"/>
    </xf>
    <xf numFmtId="0" fontId="0" fillId="0" borderId="2" xfId="0" applyBorder="1" applyAlignment="1">
      <alignment horizontal="left" vertical="top" wrapText="1"/>
    </xf>
    <xf numFmtId="0" fontId="7" fillId="0" borderId="0" xfId="0" applyFont="1"/>
    <xf numFmtId="0" fontId="8" fillId="0" borderId="0" xfId="0" applyFont="1" applyAlignment="1">
      <alignment horizontal="left" vertical="top" wrapText="1"/>
    </xf>
    <xf numFmtId="0" fontId="0" fillId="0" borderId="0" xfId="0" applyAlignment="1">
      <alignment horizontal="left" indent="2" wrapText="1"/>
    </xf>
    <xf numFmtId="0" fontId="0" fillId="0" borderId="0" xfId="0" applyAlignment="1">
      <alignment wrapText="1"/>
    </xf>
    <xf numFmtId="0" fontId="9" fillId="0" borderId="0" xfId="0" applyFont="1"/>
    <xf numFmtId="0" fontId="10" fillId="2" borderId="0" xfId="0" applyFont="1" applyFill="1"/>
    <xf numFmtId="0" fontId="10" fillId="2" borderId="0" xfId="0" applyFont="1" applyFill="1" applyAlignment="1">
      <alignment horizontal="center"/>
    </xf>
    <xf numFmtId="0" fontId="5"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11" fillId="4" borderId="1" xfId="0" applyFont="1" applyFill="1" applyBorder="1" applyAlignment="1">
      <alignment horizontal="center" vertical="top" wrapText="1"/>
    </xf>
    <xf numFmtId="0" fontId="4" fillId="0" borderId="1" xfId="0" applyFont="1" applyBorder="1" applyAlignment="1">
      <alignment vertical="top" wrapText="1"/>
    </xf>
    <xf numFmtId="0" fontId="12" fillId="5" borderId="1" xfId="0" applyFont="1" applyFill="1" applyBorder="1" applyAlignment="1" applyProtection="1">
      <alignment horizontal="left" vertical="top"/>
      <protection locked="0"/>
    </xf>
    <xf numFmtId="0" fontId="0" fillId="0" borderId="1" xfId="0" applyBorder="1" applyAlignment="1">
      <alignment vertical="top" wrapText="1"/>
    </xf>
    <xf numFmtId="0" fontId="11" fillId="5" borderId="1" xfId="0" applyFont="1" applyFill="1" applyBorder="1" applyAlignment="1" applyProtection="1">
      <alignment horizontal="left" vertical="top"/>
      <protection locked="0"/>
    </xf>
    <xf numFmtId="0" fontId="13" fillId="3" borderId="1" xfId="0" applyFont="1" applyFill="1" applyBorder="1" applyAlignment="1" applyProtection="1">
      <alignment vertical="top" wrapText="1"/>
      <protection locked="0"/>
    </xf>
    <xf numFmtId="0" fontId="13" fillId="5" borderId="1" xfId="0" applyFont="1" applyFill="1" applyBorder="1" applyAlignment="1" applyProtection="1">
      <alignment vertical="top" wrapText="1"/>
      <protection locked="0"/>
    </xf>
    <xf numFmtId="0" fontId="0" fillId="0" borderId="0" xfId="0"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37" Type="http://schemas.openxmlformats.org/officeDocument/2006/relationships/sharedStrings" Target="sharedStrings.xml"/><Relationship Id="rId38"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'AC'!$A$157:$A$162</c:f>
              <c:strCache>
                <c:ptCount val="6"/>
                <c:pt idx="0">
                  <c:v>Yes</c:v>
                </c:pt>
                <c:pt idx="1">
                  <c:v>It Does Not Apply</c:v>
                </c:pt>
                <c:pt idx="2">
                  <c:v>Partially</c:v>
                </c:pt>
                <c:pt idx="3">
                  <c:v>I Have Done An Alternative Approach</c:v>
                </c:pt>
                <c:pt idx="4">
                  <c:v>No</c:v>
                </c:pt>
                <c:pt idx="5">
                  <c:v>No Answer</c:v>
                </c:pt>
              </c:strCache>
            </c:strRef>
          </c:cat>
          <c:val>
            <c:numRef>
              <c:f>'AC'!$B$157:$B$162</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'AU'!$A$77:$A$82</c:f>
              <c:strCache>
                <c:ptCount val="6"/>
                <c:pt idx="0">
                  <c:v>Yes</c:v>
                </c:pt>
                <c:pt idx="1">
                  <c:v>It Does Not Apply</c:v>
                </c:pt>
                <c:pt idx="2">
                  <c:v>Partially</c:v>
                </c:pt>
                <c:pt idx="3">
                  <c:v>I Have Done An Alternative Approach</c:v>
                </c:pt>
                <c:pt idx="4">
                  <c:v>No</c:v>
                </c:pt>
                <c:pt idx="5">
                  <c:v>No Answer</c:v>
                </c:pt>
              </c:strCache>
            </c:strRef>
          </c:cat>
          <c:val>
            <c:numRef>
              <c:f>'AU'!$B$77:$B$82</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'AT'!$A$39:$A$44</c:f>
              <c:strCache>
                <c:ptCount val="6"/>
                <c:pt idx="0">
                  <c:v>Yes</c:v>
                </c:pt>
                <c:pt idx="1">
                  <c:v>It Does Not Apply</c:v>
                </c:pt>
                <c:pt idx="2">
                  <c:v>Partially</c:v>
                </c:pt>
                <c:pt idx="3">
                  <c:v>I Have Done An Alternative Approach</c:v>
                </c:pt>
                <c:pt idx="4">
                  <c:v>No</c:v>
                </c:pt>
                <c:pt idx="5">
                  <c:v>No Answer</c:v>
                </c:pt>
              </c:strCache>
            </c:strRef>
          </c:cat>
          <c:val>
            <c:numRef>
              <c:f>'AT'!$B$39:$B$44</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'CM'!$A$92:$A$97</c:f>
              <c:strCache>
                <c:ptCount val="6"/>
                <c:pt idx="0">
                  <c:v>Yes</c:v>
                </c:pt>
                <c:pt idx="1">
                  <c:v>It Does Not Apply</c:v>
                </c:pt>
                <c:pt idx="2">
                  <c:v>Partially</c:v>
                </c:pt>
                <c:pt idx="3">
                  <c:v>I Have Done An Alternative Approach</c:v>
                </c:pt>
                <c:pt idx="4">
                  <c:v>No</c:v>
                </c:pt>
                <c:pt idx="5">
                  <c:v>No Answer</c:v>
                </c:pt>
              </c:strCache>
            </c:strRef>
          </c:cat>
          <c:val>
            <c:numRef>
              <c:f>'CM'!$B$92:$B$97</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'IA'!$A$79:$A$84</c:f>
              <c:strCache>
                <c:ptCount val="6"/>
                <c:pt idx="0">
                  <c:v>Yes</c:v>
                </c:pt>
                <c:pt idx="1">
                  <c:v>It Does Not Apply</c:v>
                </c:pt>
                <c:pt idx="2">
                  <c:v>Partially</c:v>
                </c:pt>
                <c:pt idx="3">
                  <c:v>I Have Done An Alternative Approach</c:v>
                </c:pt>
                <c:pt idx="4">
                  <c:v>No</c:v>
                </c:pt>
                <c:pt idx="5">
                  <c:v>No Answer</c:v>
                </c:pt>
              </c:strCache>
            </c:strRef>
          </c:cat>
          <c:val>
            <c:numRef>
              <c:f>'IA'!$B$79:$B$84</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'IR'!$A$44:$A$49</c:f>
              <c:strCache>
                <c:ptCount val="6"/>
                <c:pt idx="0">
                  <c:v>Yes</c:v>
                </c:pt>
                <c:pt idx="1">
                  <c:v>It Does Not Apply</c:v>
                </c:pt>
                <c:pt idx="2">
                  <c:v>Partially</c:v>
                </c:pt>
                <c:pt idx="3">
                  <c:v>I Have Done An Alternative Approach</c:v>
                </c:pt>
                <c:pt idx="4">
                  <c:v>No</c:v>
                </c:pt>
                <c:pt idx="5">
                  <c:v>No Answer</c:v>
                </c:pt>
              </c:strCache>
            </c:strRef>
          </c:cat>
          <c:val>
            <c:numRef>
              <c:f>'IR'!$B$44:$B$49</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'MA'!$A$49:$A$54</c:f>
              <c:strCache>
                <c:ptCount val="6"/>
                <c:pt idx="0">
                  <c:v>Yes</c:v>
                </c:pt>
                <c:pt idx="1">
                  <c:v>It Does Not Apply</c:v>
                </c:pt>
                <c:pt idx="2">
                  <c:v>Partially</c:v>
                </c:pt>
                <c:pt idx="3">
                  <c:v>I Have Done An Alternative Approach</c:v>
                </c:pt>
                <c:pt idx="4">
                  <c:v>No</c:v>
                </c:pt>
                <c:pt idx="5">
                  <c:v>No Answer</c:v>
                </c:pt>
              </c:strCache>
            </c:strRef>
          </c:cat>
          <c:val>
            <c:numRef>
              <c:f>'MA'!$B$49:$B$54</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'MP'!$A$63:$A$68</c:f>
              <c:strCache>
                <c:ptCount val="6"/>
                <c:pt idx="0">
                  <c:v>Yes</c:v>
                </c:pt>
                <c:pt idx="1">
                  <c:v>It Does Not Apply</c:v>
                </c:pt>
                <c:pt idx="2">
                  <c:v>Partially</c:v>
                </c:pt>
                <c:pt idx="3">
                  <c:v>I Have Done An Alternative Approach</c:v>
                </c:pt>
                <c:pt idx="4">
                  <c:v>No</c:v>
                </c:pt>
                <c:pt idx="5">
                  <c:v>No Answer</c:v>
                </c:pt>
              </c:strCache>
            </c:strRef>
          </c:cat>
          <c:val>
            <c:numRef>
              <c:f>'MP'!$B$63:$B$68</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'PS'!$A$31:$A$36</c:f>
              <c:strCache>
                <c:ptCount val="6"/>
                <c:pt idx="0">
                  <c:v>Yes</c:v>
                </c:pt>
                <c:pt idx="1">
                  <c:v>It Does Not Apply</c:v>
                </c:pt>
                <c:pt idx="2">
                  <c:v>Partially</c:v>
                </c:pt>
                <c:pt idx="3">
                  <c:v>I Have Done An Alternative Approach</c:v>
                </c:pt>
                <c:pt idx="4">
                  <c:v>No</c:v>
                </c:pt>
                <c:pt idx="5">
                  <c:v>No Answer</c:v>
                </c:pt>
              </c:strCache>
            </c:strRef>
          </c:cat>
          <c:val>
            <c:numRef>
              <c:f>'PS'!$B$31:$B$36</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'PE'!$A$55:$A$60</c:f>
              <c:strCache>
                <c:ptCount val="6"/>
                <c:pt idx="0">
                  <c:v>Yes</c:v>
                </c:pt>
                <c:pt idx="1">
                  <c:v>It Does Not Apply</c:v>
                </c:pt>
                <c:pt idx="2">
                  <c:v>Partially</c:v>
                </c:pt>
                <c:pt idx="3">
                  <c:v>I Have Done An Alternative Approach</c:v>
                </c:pt>
                <c:pt idx="4">
                  <c:v>No</c:v>
                </c:pt>
                <c:pt idx="5">
                  <c:v>No Answer</c:v>
                </c:pt>
              </c:strCache>
            </c:strRef>
          </c:cat>
          <c:val>
            <c:numRef>
              <c:f>'PE'!$B$55:$B$60</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'RA'!$A$39:$A$44</c:f>
              <c:strCache>
                <c:ptCount val="6"/>
                <c:pt idx="0">
                  <c:v>Yes</c:v>
                </c:pt>
                <c:pt idx="1">
                  <c:v>It Does Not Apply</c:v>
                </c:pt>
                <c:pt idx="2">
                  <c:v>Partially</c:v>
                </c:pt>
                <c:pt idx="3">
                  <c:v>I Have Done An Alternative Approach</c:v>
                </c:pt>
                <c:pt idx="4">
                  <c:v>No</c:v>
                </c:pt>
                <c:pt idx="5">
                  <c:v>No Answer</c:v>
                </c:pt>
              </c:strCache>
            </c:strRef>
          </c:cat>
          <c:val>
            <c:numRef>
              <c:f>'RA'!$B$39:$B$44</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'CA'!$A$47:$A$52</c:f>
              <c:strCache>
                <c:ptCount val="6"/>
                <c:pt idx="0">
                  <c:v>Yes</c:v>
                </c:pt>
                <c:pt idx="1">
                  <c:v>It Does Not Apply</c:v>
                </c:pt>
                <c:pt idx="2">
                  <c:v>Partially</c:v>
                </c:pt>
                <c:pt idx="3">
                  <c:v>I Have Done An Alternative Approach</c:v>
                </c:pt>
                <c:pt idx="4">
                  <c:v>No</c:v>
                </c:pt>
                <c:pt idx="5">
                  <c:v>No Answer</c:v>
                </c:pt>
              </c:strCache>
            </c:strRef>
          </c:cat>
          <c:val>
            <c:numRef>
              <c:f>'CA'!$B$47:$B$52</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'SI'!$A$62:$A$67</c:f>
              <c:strCache>
                <c:ptCount val="6"/>
                <c:pt idx="0">
                  <c:v>Yes</c:v>
                </c:pt>
                <c:pt idx="1">
                  <c:v>It Does Not Apply</c:v>
                </c:pt>
                <c:pt idx="2">
                  <c:v>Partially</c:v>
                </c:pt>
                <c:pt idx="3">
                  <c:v>I Have Done An Alternative Approach</c:v>
                </c:pt>
                <c:pt idx="4">
                  <c:v>No</c:v>
                </c:pt>
                <c:pt idx="5">
                  <c:v>No Answer</c:v>
                </c:pt>
              </c:strCache>
            </c:strRef>
          </c:cat>
          <c:val>
            <c:numRef>
              <c:f>'SI'!$B$62:$B$67</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'SC'!$A$110:$A$115</c:f>
              <c:strCache>
                <c:ptCount val="6"/>
                <c:pt idx="0">
                  <c:v>Yes</c:v>
                </c:pt>
                <c:pt idx="1">
                  <c:v>It Does Not Apply</c:v>
                </c:pt>
                <c:pt idx="2">
                  <c:v>Partially</c:v>
                </c:pt>
                <c:pt idx="3">
                  <c:v>I Have Done An Alternative Approach</c:v>
                </c:pt>
                <c:pt idx="4">
                  <c:v>No</c:v>
                </c:pt>
                <c:pt idx="5">
                  <c:v>No Answer</c:v>
                </c:pt>
              </c:strCache>
            </c:strRef>
          </c:cat>
          <c:val>
            <c:numRef>
              <c:f>'SC'!$B$110:$B$115</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CMMC Practice Answers - All Practices</a:t>
            </a:r>
          </a:p>
        </c:rich>
      </c:tx>
      <c:layout/>
    </c:title>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Lbls>
            <c:txPr>
              <a:bodyPr/>
              <a:lstStyle/>
              <a:p>
                <a:pPr>
                  <a:defRPr sz="1400" b="1" baseline="0"/>
                </a:pPr>
                <a:endParaRPr lang="en-US"/>
              </a:p>
            </c:txPr>
            <c:dLblPos val="outEnd"/>
            <c:showPercent val="1"/>
          </c:dLbls>
          <c:cat>
            <c:strRef>
              <c:f>data_summary_by_practice!$C$74:$C$78</c:f>
              <c:strCache>
                <c:ptCount val="5"/>
                <c:pt idx="0">
                  <c:v>100% Done</c:v>
                </c:pt>
                <c:pt idx="1">
                  <c:v>75% to 99% Done</c:v>
                </c:pt>
                <c:pt idx="2">
                  <c:v>50% to 74% Done</c:v>
                </c:pt>
                <c:pt idx="3">
                  <c:v>25% to 49% Done</c:v>
                </c:pt>
                <c:pt idx="4">
                  <c:v>0% to 24% Done</c:v>
                </c:pt>
              </c:strCache>
            </c:strRef>
          </c:cat>
          <c:val>
            <c:numRef>
              <c:f>data_summary_by_practice!$D$74:$D$78</c:f>
              <c:numCache>
                <c:formatCode>General</c:formatCode>
                <c:ptCount val="5"/>
                <c:pt idx="0">
                  <c:v>0</c:v>
                </c:pt>
                <c:pt idx="1">
                  <c:v>0</c:v>
                </c:pt>
                <c:pt idx="2">
                  <c:v>0</c:v>
                </c:pt>
                <c:pt idx="3">
                  <c:v>0</c:v>
                </c:pt>
                <c:pt idx="4">
                  <c:v>0</c:v>
                </c:pt>
              </c:numCache>
            </c:numRef>
          </c:val>
        </c:ser>
        <c:firstSliceAng val="0"/>
      </c:pieChart>
    </c:plotArea>
    <c:legend>
      <c:legendPos val="r"/>
      <c:layout/>
      <c:txPr>
        <a:bodyPr/>
        <a:lstStyle/>
        <a:p>
          <a:pPr rtl="0">
            <a:defRPr sz="1400" b="1" baseline="0"/>
          </a:pPr>
          <a:endParaRPr lang="en-US"/>
        </a:p>
      </c:txPr>
    </c:legend>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CMMC Practice Answers - Practices by CMMC Domain</a:t>
            </a:r>
          </a:p>
        </c:rich>
      </c:tx>
      <c:layout/>
    </c:title>
    <c:plotArea>
      <c:layout/>
      <c:barChart>
        <c:barDir val="bar"/>
        <c:grouping val="stacked"/>
        <c:ser>
          <c:idx val="0"/>
          <c:order val="0"/>
          <c:tx>
            <c:strRef>
              <c:f>data_summary_by_practice!$D$99</c:f>
              <c:strCache>
                <c:ptCount val="1"/>
                <c:pt idx="0">
                  <c:v>100% Done</c:v>
                </c:pt>
              </c:strCache>
            </c:strRef>
          </c:tx>
          <c:spPr>
            <a:solidFill>
              <a:srgbClr val="00B050"/>
            </a:solidFill>
          </c:spPr>
          <c:cat>
            <c:numRef>
              <c:f>data_summary_by_practice!$C$100:$C$113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data_summary_by_practice!$D$100:$D$113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1"/>
          <c:order val="1"/>
          <c:tx>
            <c:strRef>
              <c:f>data_summary_by_practice!$E$99</c:f>
              <c:strCache>
                <c:ptCount val="1"/>
                <c:pt idx="0">
                  <c:v>75% to 99% Done</c:v>
                </c:pt>
              </c:strCache>
            </c:strRef>
          </c:tx>
          <c:spPr>
            <a:solidFill>
              <a:srgbClr val="92D050"/>
            </a:solidFill>
          </c:spPr>
          <c:cat>
            <c:numRef>
              <c:f>data_summary_by_practice!$C$100:$C$113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data_summary_by_practice!$E$100:$E$113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2"/>
          <c:order val="2"/>
          <c:tx>
            <c:strRef>
              <c:f>data_summary_by_practice!$F$99</c:f>
              <c:strCache>
                <c:ptCount val="1"/>
                <c:pt idx="0">
                  <c:v>50% to 74% Done</c:v>
                </c:pt>
              </c:strCache>
            </c:strRef>
          </c:tx>
          <c:spPr>
            <a:solidFill>
              <a:srgbClr val="FFFF00"/>
            </a:solidFill>
          </c:spPr>
          <c:cat>
            <c:numRef>
              <c:f>data_summary_by_practice!$C$100:$C$113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data_summary_by_practice!$F$100:$F$113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3"/>
          <c:order val="3"/>
          <c:tx>
            <c:strRef>
              <c:f>data_summary_by_practice!$G$99</c:f>
              <c:strCache>
                <c:ptCount val="1"/>
                <c:pt idx="0">
                  <c:v>25% to 49% Done</c:v>
                </c:pt>
              </c:strCache>
            </c:strRef>
          </c:tx>
          <c:spPr>
            <a:solidFill>
              <a:srgbClr val="FFC000"/>
            </a:solidFill>
          </c:spPr>
          <c:cat>
            <c:numRef>
              <c:f>data_summary_by_practice!$C$100:$C$113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data_summary_by_practice!$G$100:$G$113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4"/>
          <c:order val="4"/>
          <c:tx>
            <c:strRef>
              <c:f>data_summary_by_practice!$H$99</c:f>
              <c:strCache>
                <c:ptCount val="1"/>
                <c:pt idx="0">
                  <c:v>0% to 24% Done</c:v>
                </c:pt>
              </c:strCache>
            </c:strRef>
          </c:tx>
          <c:spPr>
            <a:solidFill>
              <a:srgbClr val="FF0000"/>
            </a:solidFill>
          </c:spPr>
          <c:cat>
            <c:numRef>
              <c:f>data_summary_by_practice!$C$100:$C$113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data_summary_by_practice!$H$100:$H$113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gapWidth val="25"/>
        <c:overlap val="100"/>
        <c:axId val="50160001"/>
        <c:axId val="50160002"/>
      </c:barChart>
      <c:catAx>
        <c:axId val="50160001"/>
        <c:scaling>
          <c:orientation val="minMax"/>
        </c:scaling>
        <c:axPos val="l"/>
        <c:numFmt formatCode="General" sourceLinked="1"/>
        <c:tickLblPos val="nextTo"/>
        <c:crossAx val="50160002"/>
        <c:crosses val="autoZero"/>
        <c:auto val="1"/>
        <c:lblAlgn val="ctr"/>
        <c:lblOffset val="100"/>
      </c:catAx>
      <c:valAx>
        <c:axId val="50160002"/>
        <c:scaling>
          <c:orientation val="minMax"/>
          <c:max val="22"/>
          <c:min val="0"/>
        </c:scaling>
        <c:axPos val="b"/>
        <c:majorGridlines/>
        <c:title>
          <c:tx>
            <c:rich>
              <a:bodyPr/>
              <a:lstStyle/>
              <a:p>
                <a:pPr>
                  <a:defRPr/>
                </a:pPr>
                <a:r>
                  <a:rPr lang="en-US"/>
                  <a:t>Number of Practices With Each Status</a:t>
                </a:r>
              </a:p>
            </c:rich>
          </c:tx>
          <c:layout/>
        </c:title>
        <c:numFmt formatCode="General" sourceLinked="1"/>
        <c:tickLblPos val="nextTo"/>
        <c:crossAx val="50160001"/>
        <c:crosses val="autoZero"/>
        <c:crossBetween val="between"/>
      </c:valAx>
    </c:plotArea>
    <c:legend>
      <c:legendPos val="b"/>
      <c:layout/>
      <c:txPr>
        <a:bodyPr/>
        <a:lstStyle/>
        <a:p>
          <a:pPr>
            <a:defRPr sz="1400" b="1" baseline="0"/>
          </a:pPr>
          <a:endParaRPr lang="en-US"/>
        </a:p>
      </c:txPr>
    </c:legend>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baseline="0"/>
            </a:pPr>
            <a:r>
              <a:rPr lang="en-US" sz="1400" b="1" baseline="0"/>
              <a:t>CMMC Practice Answers - All Practices</a:t>
            </a:r>
          </a:p>
        </c:rich>
      </c:tx>
      <c:layout/>
    </c:title>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1400" b="1" baseline="0"/>
                </a:pPr>
                <a:endParaRPr lang="en-US"/>
              </a:p>
            </c:txPr>
            <c:dLblPos val="outEnd"/>
            <c:showPercent val="1"/>
          </c:dLbls>
          <c:cat>
            <c:strRef>
              <c:f>'data_summary_by_question'!$C$323:$C$328</c:f>
              <c:strCache>
                <c:ptCount val="6"/>
                <c:pt idx="0">
                  <c:v>Yes</c:v>
                </c:pt>
                <c:pt idx="1">
                  <c:v>It Does Not Apply</c:v>
                </c:pt>
                <c:pt idx="2">
                  <c:v>Partially</c:v>
                </c:pt>
                <c:pt idx="3">
                  <c:v>I Have Done An Alternative Approach</c:v>
                </c:pt>
                <c:pt idx="4">
                  <c:v>No</c:v>
                </c:pt>
                <c:pt idx="5">
                  <c:v>No Answer</c:v>
                </c:pt>
              </c:strCache>
            </c:strRef>
          </c:cat>
          <c:val>
            <c:numRef>
              <c:f>'data_summary_by_question'!$D$323:$D$328</c:f>
              <c:numCache>
                <c:formatCode>General</c:formatCode>
                <c:ptCount val="6"/>
                <c:pt idx="0">
                  <c:v>0</c:v>
                </c:pt>
                <c:pt idx="1">
                  <c:v>0</c:v>
                </c:pt>
                <c:pt idx="2">
                  <c:v>0</c:v>
                </c:pt>
                <c:pt idx="3">
                  <c:v>0</c:v>
                </c:pt>
                <c:pt idx="4">
                  <c:v>0</c:v>
                </c:pt>
                <c:pt idx="5">
                  <c:v>0</c:v>
                </c:pt>
              </c:numCache>
            </c:numRef>
          </c:val>
        </c:ser>
        <c:firstSliceAng val="0"/>
      </c:pieChart>
    </c:plotArea>
    <c:legend>
      <c:legendPos val="r"/>
      <c:layout/>
      <c:txPr>
        <a:bodyPr/>
        <a:lstStyle/>
        <a:p>
          <a:pPr rtl="0">
            <a:defRPr sz="1400" b="1" baseline="0"/>
          </a:pPr>
          <a:endParaRPr lang="en-US"/>
        </a:p>
      </c:txPr>
    </c:legend>
    <c:plotVisOnly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CMMC Practice Answers - Practices by CMMC Domain</a:t>
            </a:r>
          </a:p>
        </c:rich>
      </c:tx>
      <c:layout/>
    </c:title>
    <c:plotArea>
      <c:layout/>
      <c:barChart>
        <c:barDir val="bar"/>
        <c:grouping val="stacked"/>
        <c:ser>
          <c:idx val="0"/>
          <c:order val="0"/>
          <c:tx>
            <c:strRef>
              <c:f>data_summary_by_question!$D$349</c:f>
              <c:strCache>
                <c:ptCount val="1"/>
                <c:pt idx="0">
                  <c:v>Yes</c:v>
                </c:pt>
              </c:strCache>
            </c:strRef>
          </c:tx>
          <c:spPr>
            <a:solidFill>
              <a:srgbClr val="00B050"/>
            </a:solidFill>
          </c:spPr>
          <c:cat>
            <c:numRef>
              <c:f>data_summary_by_question!$C$350:$C$363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data_summary_by_question!$D$350:$D$363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1"/>
          <c:order val="1"/>
          <c:tx>
            <c:strRef>
              <c:f>data_summary_by_question!$E$349</c:f>
              <c:strCache>
                <c:ptCount val="1"/>
                <c:pt idx="0">
                  <c:v>It Does Not Apply</c:v>
                </c:pt>
              </c:strCache>
            </c:strRef>
          </c:tx>
          <c:spPr>
            <a:solidFill>
              <a:srgbClr val="92D050"/>
            </a:solidFill>
          </c:spPr>
          <c:cat>
            <c:numRef>
              <c:f>data_summary_by_question!$C$350:$C$363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data_summary_by_question!$E$350:$E$363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2"/>
          <c:order val="2"/>
          <c:tx>
            <c:strRef>
              <c:f>data_summary_by_question!$F$349</c:f>
              <c:strCache>
                <c:ptCount val="1"/>
                <c:pt idx="0">
                  <c:v>Partially</c:v>
                </c:pt>
              </c:strCache>
            </c:strRef>
          </c:tx>
          <c:spPr>
            <a:solidFill>
              <a:srgbClr val="FFFF00"/>
            </a:solidFill>
          </c:spPr>
          <c:cat>
            <c:numRef>
              <c:f>data_summary_by_question!$C$350:$C$363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data_summary_by_question!$F$350:$F$363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3"/>
          <c:order val="3"/>
          <c:tx>
            <c:strRef>
              <c:f>data_summary_by_question!$G$349</c:f>
              <c:strCache>
                <c:ptCount val="1"/>
                <c:pt idx="0">
                  <c:v>I Have Done An Alternative Approach</c:v>
                </c:pt>
              </c:strCache>
            </c:strRef>
          </c:tx>
          <c:spPr>
            <a:solidFill>
              <a:srgbClr val="FFC000"/>
            </a:solidFill>
          </c:spPr>
          <c:cat>
            <c:numRef>
              <c:f>data_summary_by_question!$C$350:$C$363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data_summary_by_question!$G$350:$G$363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4"/>
          <c:order val="4"/>
          <c:tx>
            <c:strRef>
              <c:f>data_summary_by_question!$H$349</c:f>
              <c:strCache>
                <c:ptCount val="1"/>
                <c:pt idx="0">
                  <c:v>No</c:v>
                </c:pt>
              </c:strCache>
            </c:strRef>
          </c:tx>
          <c:spPr>
            <a:solidFill>
              <a:srgbClr val="FF0000"/>
            </a:solidFill>
          </c:spPr>
          <c:cat>
            <c:numRef>
              <c:f>data_summary_by_question!$C$350:$C$363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data_summary_by_question!$H$350:$H$363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5"/>
          <c:order val="5"/>
          <c:tx>
            <c:strRef>
              <c:f>data_summary_by_question!$I$349</c:f>
              <c:strCache>
                <c:ptCount val="1"/>
                <c:pt idx="0">
                  <c:v>No Answer</c:v>
                </c:pt>
              </c:strCache>
            </c:strRef>
          </c:tx>
          <c:spPr>
            <a:solidFill>
              <a:srgbClr val="DB8345"/>
            </a:solidFill>
          </c:spPr>
          <c:cat>
            <c:numRef>
              <c:f>data_summary_by_question!$C$350:$C$363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data_summary_by_question!$I$350:$I$363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gapWidth val="25"/>
        <c:overlap val="100"/>
        <c:axId val="50180001"/>
        <c:axId val="50180002"/>
      </c:barChart>
      <c:catAx>
        <c:axId val="50180001"/>
        <c:scaling>
          <c:orientation val="minMax"/>
        </c:scaling>
        <c:axPos val="l"/>
        <c:numFmt formatCode="General" sourceLinked="1"/>
        <c:tickLblPos val="nextTo"/>
        <c:crossAx val="50180002"/>
        <c:crosses val="autoZero"/>
        <c:auto val="1"/>
        <c:lblAlgn val="ctr"/>
        <c:lblOffset val="100"/>
      </c:catAx>
      <c:valAx>
        <c:axId val="50180002"/>
        <c:scaling>
          <c:orientation val="minMax"/>
          <c:max val="70"/>
          <c:min val="0"/>
        </c:scaling>
        <c:axPos val="b"/>
        <c:majorGridlines/>
        <c:title>
          <c:tx>
            <c:rich>
              <a:bodyPr/>
              <a:lstStyle/>
              <a:p>
                <a:pPr>
                  <a:defRPr/>
                </a:pPr>
                <a:r>
                  <a:rPr lang="en-US"/>
                  <a:t>Number of Questions With Each Status</a:t>
                </a:r>
              </a:p>
            </c:rich>
          </c:tx>
          <c:layout/>
        </c:title>
        <c:numFmt formatCode="General" sourceLinked="1"/>
        <c:tickLblPos val="nextTo"/>
        <c:crossAx val="50180001"/>
        <c:crosses val="autoZero"/>
        <c:crossBetween val="between"/>
      </c:valAx>
    </c:plotArea>
    <c:legend>
      <c:legendPos val="b"/>
      <c:layout/>
      <c:txPr>
        <a:bodyPr/>
        <a:lstStyle/>
        <a:p>
          <a:pPr>
            <a:defRPr sz="1400" b="1" baseline="0"/>
          </a:pPr>
          <a:endParaRPr lang="en-US"/>
        </a:p>
      </c:txPr>
    </c:legend>
    <c:plotVisOnly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baseline="0"/>
            </a:pPr>
            <a:r>
              <a:rPr lang="en-US" sz="1400" b="1" baseline="0"/>
              <a:t>CMMC Practice Answers - All Objective Evidence</a:t>
            </a:r>
          </a:p>
        </c:rich>
      </c:tx>
      <c:layout/>
    </c:title>
    <c:plotArea>
      <c:layout/>
      <c:pieChart>
        <c:varyColors val="1"/>
        <c:ser>
          <c:idx val="0"/>
          <c:order val="0"/>
          <c:dPt>
            <c:idx val="0"/>
            <c:spPr>
              <a:solidFill>
                <a:srgbClr val="00B050"/>
              </a:solidFill>
            </c:spPr>
          </c:dPt>
          <c:dPt>
            <c:idx val="1"/>
            <c:spPr>
              <a:solidFill>
                <a:srgbClr val="FFFF00"/>
              </a:solidFill>
            </c:spPr>
          </c:dPt>
          <c:dPt>
            <c:idx val="2"/>
            <c:spPr>
              <a:solidFill>
                <a:srgbClr val="FF0000"/>
              </a:solidFill>
            </c:spPr>
          </c:dPt>
          <c:dPt>
            <c:idx val="3"/>
            <c:spPr>
              <a:solidFill>
                <a:srgbClr val="DB8345"/>
              </a:solidFill>
            </c:spPr>
          </c:dPt>
          <c:dLbls>
            <c:txPr>
              <a:bodyPr/>
              <a:lstStyle/>
              <a:p>
                <a:pPr>
                  <a:defRPr sz="1400" b="1" baseline="0"/>
                </a:pPr>
                <a:endParaRPr lang="en-US"/>
              </a:p>
            </c:txPr>
            <c:dLblPos val="outEnd"/>
            <c:showPercent val="1"/>
          </c:dLbls>
          <c:cat>
            <c:strRef>
              <c:f>'data_summary_by_question'!$Q$113:$Q$116</c:f>
              <c:strCache>
                <c:ptCount val="4"/>
                <c:pt idx="0">
                  <c:v>Completed</c:v>
                </c:pt>
                <c:pt idx="1">
                  <c:v>Partially Completed</c:v>
                </c:pt>
                <c:pt idx="2">
                  <c:v>Not Yet Started</c:v>
                </c:pt>
                <c:pt idx="3">
                  <c:v>No Answer</c:v>
                </c:pt>
              </c:strCache>
            </c:strRef>
          </c:cat>
          <c:val>
            <c:numRef>
              <c:f>'data_summary_by_question'!$R$113:$R$116</c:f>
              <c:numCache>
                <c:formatCode>General</c:formatCode>
                <c:ptCount val="4"/>
                <c:pt idx="0">
                  <c:v>0</c:v>
                </c:pt>
                <c:pt idx="1">
                  <c:v>0</c:v>
                </c:pt>
                <c:pt idx="2">
                  <c:v>0</c:v>
                </c:pt>
                <c:pt idx="3">
                  <c:v>0</c:v>
                </c:pt>
              </c:numCache>
            </c:numRef>
          </c:val>
        </c:ser>
        <c:firstSliceAng val="0"/>
      </c:pieChart>
    </c:plotArea>
    <c:legend>
      <c:legendPos val="r"/>
      <c:layout/>
      <c:txPr>
        <a:bodyPr/>
        <a:lstStyle/>
        <a:p>
          <a:pPr rtl="0">
            <a:defRPr sz="1400" b="1" baseline="0"/>
          </a:pPr>
          <a:endParaRPr lang="en-US"/>
        </a:p>
      </c:txPr>
    </c:legend>
    <c:plotVisOnly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CMMC Objective Evidence by CMMC Domain</a:t>
            </a:r>
          </a:p>
        </c:rich>
      </c:tx>
      <c:layout/>
    </c:title>
    <c:plotArea>
      <c:layout/>
      <c:barChart>
        <c:barDir val="bar"/>
        <c:grouping val="stacked"/>
        <c:ser>
          <c:idx val="0"/>
          <c:order val="0"/>
          <c:tx>
            <c:strRef>
              <c:f>data_summary_by_question!$R$137</c:f>
              <c:strCache>
                <c:ptCount val="1"/>
                <c:pt idx="0">
                  <c:v>Completed</c:v>
                </c:pt>
              </c:strCache>
            </c:strRef>
          </c:tx>
          <c:spPr>
            <a:solidFill>
              <a:srgbClr val="00B050"/>
            </a:solidFill>
          </c:spPr>
          <c:cat>
            <c:numRef>
              <c:f>data_summary_by_question!$Q$138:$Q$151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data_summary_by_question!$R$138:$R$151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1"/>
          <c:order val="1"/>
          <c:tx>
            <c:strRef>
              <c:f>data_summary_by_question!$S$137</c:f>
              <c:strCache>
                <c:ptCount val="1"/>
                <c:pt idx="0">
                  <c:v>Partially Completed</c:v>
                </c:pt>
              </c:strCache>
            </c:strRef>
          </c:tx>
          <c:spPr>
            <a:solidFill>
              <a:srgbClr val="FFFF00"/>
            </a:solidFill>
          </c:spPr>
          <c:cat>
            <c:numRef>
              <c:f>data_summary_by_question!$Q$138:$Q$151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data_summary_by_question!$S$138:$S$151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2"/>
          <c:order val="2"/>
          <c:tx>
            <c:strRef>
              <c:f>data_summary_by_question!$T$137</c:f>
              <c:strCache>
                <c:ptCount val="1"/>
                <c:pt idx="0">
                  <c:v>Not Yet Started</c:v>
                </c:pt>
              </c:strCache>
            </c:strRef>
          </c:tx>
          <c:spPr>
            <a:solidFill>
              <a:srgbClr val="FF0000"/>
            </a:solidFill>
          </c:spPr>
          <c:cat>
            <c:numRef>
              <c:f>data_summary_by_question!$Q$138:$Q$151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data_summary_by_question!$T$138:$T$151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3"/>
          <c:order val="3"/>
          <c:tx>
            <c:strRef>
              <c:f>data_summary_by_question!$U$137</c:f>
              <c:strCache>
                <c:ptCount val="1"/>
                <c:pt idx="0">
                  <c:v>No Answer</c:v>
                </c:pt>
              </c:strCache>
            </c:strRef>
          </c:tx>
          <c:spPr>
            <a:solidFill>
              <a:srgbClr val="DB8345"/>
            </a:solidFill>
          </c:spPr>
          <c:cat>
            <c:numRef>
              <c:f>data_summary_by_question!$Q$138:$Q$151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data_summary_by_question!$U$138:$U$151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gapWidth val="25"/>
        <c:overlap val="100"/>
        <c:axId val="50200001"/>
        <c:axId val="50200002"/>
      </c:barChart>
      <c:catAx>
        <c:axId val="50200001"/>
        <c:scaling>
          <c:orientation val="minMax"/>
        </c:scaling>
        <c:axPos val="l"/>
        <c:numFmt formatCode="General" sourceLinked="1"/>
        <c:tickLblPos val="nextTo"/>
        <c:crossAx val="50200002"/>
        <c:crosses val="autoZero"/>
        <c:auto val="1"/>
        <c:lblAlgn val="ctr"/>
        <c:lblOffset val="100"/>
      </c:catAx>
      <c:valAx>
        <c:axId val="50200002"/>
        <c:scaling>
          <c:orientation val="minMax"/>
          <c:max val="22"/>
          <c:min val="0"/>
        </c:scaling>
        <c:axPos val="b"/>
        <c:majorGridlines/>
        <c:title>
          <c:tx>
            <c:rich>
              <a:bodyPr/>
              <a:lstStyle/>
              <a:p>
                <a:pPr>
                  <a:defRPr/>
                </a:pPr>
                <a:r>
                  <a:rPr lang="en-US"/>
                  <a:t>Number of Practices With Each Status</a:t>
                </a:r>
              </a:p>
            </c:rich>
          </c:tx>
          <c:layout/>
        </c:title>
        <c:numFmt formatCode="General" sourceLinked="1"/>
        <c:tickLblPos val="nextTo"/>
        <c:crossAx val="50200001"/>
        <c:crosses val="autoZero"/>
        <c:crossBetween val="between"/>
      </c:valAx>
    </c:plotArea>
    <c:legend>
      <c:legendPos val="b"/>
      <c:layout/>
      <c:txPr>
        <a:bodyPr/>
        <a:lstStyle/>
        <a:p>
          <a:pPr>
            <a:defRPr sz="1400" b="1" baseline="0"/>
          </a:pPr>
          <a:endParaRPr lang="en-US"/>
        </a:p>
      </c:txPr>
    </c:legend>
    <c:plotVisOnly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baseline="0"/>
            </a:pPr>
            <a:r>
              <a:rPr lang="en-US" sz="1400" b="1" baseline="0"/>
              <a:t>CMMC Documentation Answers - All DOCUMENTATION</a:t>
            </a:r>
          </a:p>
        </c:rich>
      </c:tx>
      <c:layout/>
    </c:title>
    <c:plotArea>
      <c:layout/>
      <c:pieChart>
        <c:varyColors val="1"/>
        <c:ser>
          <c:idx val="0"/>
          <c:order val="0"/>
          <c:dPt>
            <c:idx val="0"/>
            <c:spPr>
              <a:solidFill>
                <a:srgbClr val="00B050"/>
              </a:solidFill>
            </c:spPr>
          </c:dPt>
          <c:dPt>
            <c:idx val="1"/>
            <c:spPr>
              <a:solidFill>
                <a:srgbClr val="FFFF00"/>
              </a:solidFill>
            </c:spPr>
          </c:dPt>
          <c:dPt>
            <c:idx val="2"/>
            <c:spPr>
              <a:solidFill>
                <a:srgbClr val="FF0000"/>
              </a:solidFill>
            </c:spPr>
          </c:dPt>
          <c:dPt>
            <c:idx val="3"/>
            <c:spPr>
              <a:solidFill>
                <a:srgbClr val="DB8345"/>
              </a:solidFill>
            </c:spPr>
          </c:dPt>
          <c:dLbls>
            <c:txPr>
              <a:bodyPr/>
              <a:lstStyle/>
              <a:p>
                <a:pPr>
                  <a:defRPr sz="1400" b="1" baseline="0"/>
                </a:pPr>
                <a:endParaRPr lang="en-US"/>
              </a:p>
            </c:txPr>
            <c:dLblPos val="outEnd"/>
            <c:showPercent val="1"/>
          </c:dLbls>
          <c:cat>
            <c:strRef>
              <c:f>'data_summary_by_question'!$AD$45:$AD$48</c:f>
              <c:strCache>
                <c:ptCount val="4"/>
                <c:pt idx="0">
                  <c:v>Completed</c:v>
                </c:pt>
                <c:pt idx="1">
                  <c:v>Partially Completed</c:v>
                </c:pt>
                <c:pt idx="2">
                  <c:v>Not Yet Started</c:v>
                </c:pt>
                <c:pt idx="3">
                  <c:v>No Answer</c:v>
                </c:pt>
              </c:strCache>
            </c:strRef>
          </c:cat>
          <c:val>
            <c:numRef>
              <c:f>'data_summary_by_question'!$AE$45:$AE$48</c:f>
              <c:numCache>
                <c:formatCode>General</c:formatCode>
                <c:ptCount val="4"/>
                <c:pt idx="0">
                  <c:v>0</c:v>
                </c:pt>
                <c:pt idx="1">
                  <c:v>0</c:v>
                </c:pt>
                <c:pt idx="2">
                  <c:v>0</c:v>
                </c:pt>
                <c:pt idx="3">
                  <c:v>0</c:v>
                </c:pt>
              </c:numCache>
            </c:numRef>
          </c:val>
        </c:ser>
        <c:firstSliceAng val="0"/>
      </c:pieChart>
    </c:plotArea>
    <c:legend>
      <c:legendPos val="r"/>
      <c:layout/>
      <c:txPr>
        <a:bodyPr/>
        <a:lstStyle/>
        <a:p>
          <a:pPr rtl="0">
            <a:defRPr sz="1400" b="1" baseline="0"/>
          </a:pPr>
          <a:endParaRPr lang="en-US"/>
        </a:p>
      </c:txPr>
    </c:legend>
    <c:plotVisOnly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CMMC Documentation Answers - Documentation Status by CMMC Domain</a:t>
            </a:r>
          </a:p>
        </c:rich>
      </c:tx>
      <c:layout/>
    </c:title>
    <c:plotArea>
      <c:layout/>
      <c:barChart>
        <c:barDir val="bar"/>
        <c:grouping val="stacked"/>
        <c:ser>
          <c:idx val="0"/>
          <c:order val="0"/>
          <c:tx>
            <c:strRef>
              <c:f>data_summary_by_question!$AE$69</c:f>
              <c:strCache>
                <c:ptCount val="1"/>
                <c:pt idx="0">
                  <c:v>Completed</c:v>
                </c:pt>
              </c:strCache>
            </c:strRef>
          </c:tx>
          <c:spPr>
            <a:solidFill>
              <a:srgbClr val="00B050"/>
            </a:solidFill>
          </c:spPr>
          <c:cat>
            <c:numRef>
              <c:f>data_summary_by_question!$AD$70:$AD$83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data_summary_by_question!$AE$70:$AE$83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1"/>
          <c:order val="1"/>
          <c:tx>
            <c:strRef>
              <c:f>data_summary_by_question!$AF$69</c:f>
              <c:strCache>
                <c:ptCount val="1"/>
                <c:pt idx="0">
                  <c:v>Partially Completed</c:v>
                </c:pt>
              </c:strCache>
            </c:strRef>
          </c:tx>
          <c:spPr>
            <a:solidFill>
              <a:srgbClr val="FFFF00"/>
            </a:solidFill>
          </c:spPr>
          <c:cat>
            <c:numRef>
              <c:f>data_summary_by_question!$AD$70:$AD$83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data_summary_by_question!$AF$70:$AF$83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2"/>
          <c:order val="2"/>
          <c:tx>
            <c:strRef>
              <c:f>data_summary_by_question!$AG$69</c:f>
              <c:strCache>
                <c:ptCount val="1"/>
                <c:pt idx="0">
                  <c:v>Not Yet Started</c:v>
                </c:pt>
              </c:strCache>
            </c:strRef>
          </c:tx>
          <c:spPr>
            <a:solidFill>
              <a:srgbClr val="FF0000"/>
            </a:solidFill>
          </c:spPr>
          <c:cat>
            <c:numRef>
              <c:f>data_summary_by_question!$AD$70:$AD$83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data_summary_by_question!$AG$70:$AG$83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3"/>
          <c:order val="3"/>
          <c:tx>
            <c:strRef>
              <c:f>data_summary_by_question!$AH$69</c:f>
              <c:strCache>
                <c:ptCount val="1"/>
                <c:pt idx="0">
                  <c:v>No Answer</c:v>
                </c:pt>
              </c:strCache>
            </c:strRef>
          </c:tx>
          <c:spPr>
            <a:solidFill>
              <a:srgbClr val="DB8345"/>
            </a:solidFill>
          </c:spPr>
          <c:cat>
            <c:numRef>
              <c:f>data_summary_by_question!$AD$70:$AD$83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cat>
          <c:val>
            <c:numRef>
              <c:f>data_summary_by_question!$AH$70:$AH$83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gapWidth val="25"/>
        <c:overlap val="100"/>
        <c:axId val="50220001"/>
        <c:axId val="50220002"/>
      </c:barChart>
      <c:catAx>
        <c:axId val="50220001"/>
        <c:scaling>
          <c:orientation val="minMax"/>
        </c:scaling>
        <c:axPos val="l"/>
        <c:numFmt formatCode="General" sourceLinked="1"/>
        <c:tickLblPos val="nextTo"/>
        <c:crossAx val="50220002"/>
        <c:crosses val="autoZero"/>
        <c:auto val="1"/>
        <c:lblAlgn val="ctr"/>
        <c:lblOffset val="100"/>
      </c:catAx>
      <c:valAx>
        <c:axId val="50220002"/>
        <c:scaling>
          <c:orientation val="minMax"/>
          <c:max val="3"/>
          <c:min val="0"/>
        </c:scaling>
        <c:axPos val="b"/>
        <c:majorGridlines/>
        <c:title>
          <c:tx>
            <c:rich>
              <a:bodyPr/>
              <a:lstStyle/>
              <a:p>
                <a:pPr>
                  <a:defRPr/>
                </a:pPr>
                <a:r>
                  <a:rPr lang="en-US"/>
                  <a:t>Number of Documents With Each Status</a:t>
                </a:r>
              </a:p>
            </c:rich>
          </c:tx>
          <c:layout/>
        </c:title>
        <c:numFmt formatCode="General" sourceLinked="1"/>
        <c:tickLblPos val="nextTo"/>
        <c:crossAx val="50220001"/>
        <c:crosses val="autoZero"/>
        <c:crossBetween val="between"/>
      </c:valAx>
    </c:plotArea>
    <c:legend>
      <c:legendPos val="b"/>
      <c:layout/>
      <c:txPr>
        <a:bodyPr/>
        <a:lstStyle/>
        <a:p>
          <a:pPr>
            <a:defRPr sz="1400" b="1" baseline="0"/>
          </a:pPr>
          <a:endParaRPr lang="en-US"/>
        </a:p>
      </c:txPr>
    </c:legend>
    <c:plotVisOnly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CMMC Documentation Answers - Status by Document Type</a:t>
            </a:r>
          </a:p>
        </c:rich>
      </c:tx>
      <c:layout/>
    </c:title>
    <c:plotArea>
      <c:layout/>
      <c:barChart>
        <c:barDir val="bar"/>
        <c:grouping val="stacked"/>
        <c:ser>
          <c:idx val="0"/>
          <c:order val="0"/>
          <c:tx>
            <c:strRef>
              <c:f>data_summary_by_question!$AS$58</c:f>
              <c:strCache>
                <c:ptCount val="1"/>
                <c:pt idx="0">
                  <c:v>Completed</c:v>
                </c:pt>
              </c:strCache>
            </c:strRef>
          </c:tx>
          <c:spPr>
            <a:solidFill>
              <a:srgbClr val="00B050"/>
            </a:solidFill>
          </c:spPr>
          <c:cat>
            <c:numRef>
              <c:f>data_summary_by_question!$AR$59:$AR$61</c:f>
              <c:numCache>
                <c:formatCode>General</c:formatCode>
                <c:ptCount val="3"/>
                <c:pt idx="0">
                  <c:v>0</c:v>
                </c:pt>
                <c:pt idx="1">
                  <c:v>0</c:v>
                </c:pt>
                <c:pt idx="2">
                  <c:v>0</c:v>
                </c:pt>
              </c:numCache>
            </c:numRef>
          </c:cat>
          <c:val>
            <c:numRef>
              <c:f>data_summary_by_question!$AS$59:$AS$61</c:f>
              <c:numCache>
                <c:formatCode>General</c:formatCode>
                <c:ptCount val="3"/>
                <c:pt idx="0">
                  <c:v>0</c:v>
                </c:pt>
                <c:pt idx="1">
                  <c:v>0</c:v>
                </c:pt>
                <c:pt idx="2">
                  <c:v>0</c:v>
                </c:pt>
              </c:numCache>
            </c:numRef>
          </c:val>
        </c:ser>
        <c:ser>
          <c:idx val="1"/>
          <c:order val="1"/>
          <c:tx>
            <c:strRef>
              <c:f>data_summary_by_question!$AT$58</c:f>
              <c:strCache>
                <c:ptCount val="1"/>
                <c:pt idx="0">
                  <c:v>Partially Completed</c:v>
                </c:pt>
              </c:strCache>
            </c:strRef>
          </c:tx>
          <c:spPr>
            <a:solidFill>
              <a:srgbClr val="FFFF00"/>
            </a:solidFill>
          </c:spPr>
          <c:cat>
            <c:numRef>
              <c:f>data_summary_by_question!$AR$59:$AR$61</c:f>
              <c:numCache>
                <c:formatCode>General</c:formatCode>
                <c:ptCount val="3"/>
                <c:pt idx="0">
                  <c:v>0</c:v>
                </c:pt>
                <c:pt idx="1">
                  <c:v>0</c:v>
                </c:pt>
                <c:pt idx="2">
                  <c:v>0</c:v>
                </c:pt>
              </c:numCache>
            </c:numRef>
          </c:cat>
          <c:val>
            <c:numRef>
              <c:f>data_summary_by_question!$AT$59:$AT$61</c:f>
              <c:numCache>
                <c:formatCode>General</c:formatCode>
                <c:ptCount val="3"/>
                <c:pt idx="0">
                  <c:v>0</c:v>
                </c:pt>
                <c:pt idx="1">
                  <c:v>0</c:v>
                </c:pt>
                <c:pt idx="2">
                  <c:v>0</c:v>
                </c:pt>
              </c:numCache>
            </c:numRef>
          </c:val>
        </c:ser>
        <c:ser>
          <c:idx val="2"/>
          <c:order val="2"/>
          <c:tx>
            <c:strRef>
              <c:f>data_summary_by_question!$AU$58</c:f>
              <c:strCache>
                <c:ptCount val="1"/>
                <c:pt idx="0">
                  <c:v>Not Yet Started</c:v>
                </c:pt>
              </c:strCache>
            </c:strRef>
          </c:tx>
          <c:spPr>
            <a:solidFill>
              <a:srgbClr val="FF0000"/>
            </a:solidFill>
          </c:spPr>
          <c:cat>
            <c:numRef>
              <c:f>data_summary_by_question!$AR$59:$AR$61</c:f>
              <c:numCache>
                <c:formatCode>General</c:formatCode>
                <c:ptCount val="3"/>
                <c:pt idx="0">
                  <c:v>0</c:v>
                </c:pt>
                <c:pt idx="1">
                  <c:v>0</c:v>
                </c:pt>
                <c:pt idx="2">
                  <c:v>0</c:v>
                </c:pt>
              </c:numCache>
            </c:numRef>
          </c:cat>
          <c:val>
            <c:numRef>
              <c:f>data_summary_by_question!$AU$59:$AU$61</c:f>
              <c:numCache>
                <c:formatCode>General</c:formatCode>
                <c:ptCount val="3"/>
                <c:pt idx="0">
                  <c:v>0</c:v>
                </c:pt>
                <c:pt idx="1">
                  <c:v>0</c:v>
                </c:pt>
                <c:pt idx="2">
                  <c:v>0</c:v>
                </c:pt>
              </c:numCache>
            </c:numRef>
          </c:val>
        </c:ser>
        <c:ser>
          <c:idx val="3"/>
          <c:order val="3"/>
          <c:tx>
            <c:strRef>
              <c:f>data_summary_by_question!$AV$58</c:f>
              <c:strCache>
                <c:ptCount val="1"/>
                <c:pt idx="0">
                  <c:v>No Answer</c:v>
                </c:pt>
              </c:strCache>
            </c:strRef>
          </c:tx>
          <c:spPr>
            <a:solidFill>
              <a:srgbClr val="DB8345"/>
            </a:solidFill>
          </c:spPr>
          <c:cat>
            <c:numRef>
              <c:f>data_summary_by_question!$AR$59:$AR$61</c:f>
              <c:numCache>
                <c:formatCode>General</c:formatCode>
                <c:ptCount val="3"/>
                <c:pt idx="0">
                  <c:v>0</c:v>
                </c:pt>
                <c:pt idx="1">
                  <c:v>0</c:v>
                </c:pt>
                <c:pt idx="2">
                  <c:v>0</c:v>
                </c:pt>
              </c:numCache>
            </c:numRef>
          </c:cat>
          <c:val>
            <c:numRef>
              <c:f>data_summary_by_question!$AV$59:$AV$61</c:f>
              <c:numCache>
                <c:formatCode>General</c:formatCode>
                <c:ptCount val="3"/>
                <c:pt idx="0">
                  <c:v>0</c:v>
                </c:pt>
                <c:pt idx="1">
                  <c:v>0</c:v>
                </c:pt>
                <c:pt idx="2">
                  <c:v>0</c:v>
                </c:pt>
              </c:numCache>
            </c:numRef>
          </c:val>
        </c:ser>
        <c:gapWidth val="25"/>
        <c:overlap val="100"/>
        <c:axId val="50230001"/>
        <c:axId val="50230002"/>
      </c:barChart>
      <c:catAx>
        <c:axId val="50230001"/>
        <c:scaling>
          <c:orientation val="minMax"/>
        </c:scaling>
        <c:axPos val="l"/>
        <c:numFmt formatCode="General" sourceLinked="1"/>
        <c:tickLblPos val="nextTo"/>
        <c:crossAx val="50230002"/>
        <c:crosses val="autoZero"/>
        <c:auto val="1"/>
        <c:lblAlgn val="ctr"/>
        <c:lblOffset val="100"/>
      </c:catAx>
      <c:valAx>
        <c:axId val="50230002"/>
        <c:scaling>
          <c:orientation val="minMax"/>
          <c:max val="14"/>
          <c:min val="0"/>
        </c:scaling>
        <c:axPos val="b"/>
        <c:majorGridlines/>
        <c:title>
          <c:tx>
            <c:rich>
              <a:bodyPr/>
              <a:lstStyle/>
              <a:p>
                <a:pPr>
                  <a:defRPr/>
                </a:pPr>
                <a:r>
                  <a:rPr lang="en-US"/>
                  <a:t>Number of Documents With Each Status</a:t>
                </a:r>
              </a:p>
            </c:rich>
          </c:tx>
          <c:layout/>
        </c:title>
        <c:numFmt formatCode="General" sourceLinked="1"/>
        <c:tickLblPos val="nextTo"/>
        <c:crossAx val="50230001"/>
        <c:crosses val="autoZero"/>
        <c:crossBetween val="between"/>
      </c:valAx>
    </c:plotArea>
    <c:legend>
      <c:legendPos val="b"/>
      <c:layout/>
      <c:txPr>
        <a:bodyPr/>
        <a:lstStyle/>
        <a:p>
          <a:pPr>
            <a:defRPr sz="1400" b="1" baseline="0"/>
          </a:pPr>
          <a:endParaRPr lang="en-US"/>
        </a:p>
      </c:txPr>
    </c:legend>
    <c:plotVisOnly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0B050"/>
              </a:solidFill>
            </c:spPr>
          </c:dPt>
          <c:dPt>
            <c:idx val="1"/>
            <c:spPr>
              <a:solidFill>
                <a:srgbClr val="92D050"/>
              </a:solidFill>
            </c:spPr>
          </c:dPt>
          <c:dPt>
            <c:idx val="2"/>
            <c:spPr>
              <a:solidFill>
                <a:srgbClr val="FFFF00"/>
              </a:solidFill>
            </c:spPr>
          </c:dPt>
          <c:dPt>
            <c:idx val="3"/>
            <c:spPr>
              <a:solidFill>
                <a:srgbClr val="FFC000"/>
              </a:solidFill>
            </c:spPr>
          </c:dPt>
          <c:dPt>
            <c:idx val="4"/>
            <c:spPr>
              <a:solidFill>
                <a:srgbClr val="FF0000"/>
              </a:solidFill>
            </c:spPr>
          </c:dPt>
          <c:dPt>
            <c:idx val="5"/>
            <c:spPr>
              <a:solidFill>
                <a:srgbClr val="DB8345"/>
              </a:solidFill>
            </c:spPr>
          </c:dPt>
          <c:dLbls>
            <c:txPr>
              <a:bodyPr/>
              <a:lstStyle/>
              <a:p>
                <a:pPr>
                  <a:defRPr sz="900" b="1" baseline="0"/>
                </a:pPr>
                <a:endParaRPr lang="en-US"/>
              </a:p>
            </c:txPr>
            <c:dLblPos val="outEnd"/>
            <c:showPercent val="1"/>
          </c:dLbls>
          <c:cat>
            <c:strRef>
              <c:f>'CDN-FACILITATED_PRACTICES'!$E$29:$E$34</c:f>
              <c:strCache>
                <c:ptCount val="6"/>
                <c:pt idx="0">
                  <c:v>Yes</c:v>
                </c:pt>
                <c:pt idx="1">
                  <c:v>It Does Not Apply</c:v>
                </c:pt>
                <c:pt idx="2">
                  <c:v>Partially</c:v>
                </c:pt>
                <c:pt idx="3">
                  <c:v>I Have Done An Alternative Approach</c:v>
                </c:pt>
                <c:pt idx="4">
                  <c:v>No</c:v>
                </c:pt>
                <c:pt idx="5">
                  <c:v>No Answer</c:v>
                </c:pt>
              </c:strCache>
            </c:strRef>
          </c:cat>
          <c:val>
            <c:numRef>
              <c:f>'CDN-FACILITATED_PRACTICES'!$F$29:$F$34</c:f>
              <c:numCache>
                <c:formatCode>General</c:formatCode>
                <c:ptCount val="6"/>
                <c:pt idx="0">
                  <c:v>0</c:v>
                </c:pt>
                <c:pt idx="1">
                  <c:v>0</c:v>
                </c:pt>
                <c:pt idx="2">
                  <c:v>0</c:v>
                </c:pt>
                <c:pt idx="3">
                  <c:v>0</c:v>
                </c:pt>
                <c:pt idx="4">
                  <c:v>0</c:v>
                </c:pt>
                <c:pt idx="5">
                  <c:v>0</c:v>
                </c:pt>
              </c:numCache>
            </c:numRef>
          </c:val>
        </c:ser>
        <c:firstSliceAng val="0"/>
      </c:pieChart>
    </c:plotArea>
    <c:plotVisOnly val="1"/>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hyperlink" Target="https://www.celerium.com/solutions/cdn-compromise-defender" TargetMode="External"/><Relationship Id="rId3"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 Id="rId3"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19050</xdr:rowOff>
    </xdr:to>
    <xdr:pic>
      <xdr:nvPicPr>
        <xdr:cNvPr id="2" name="Picture 1" descr="Advanced-Self-Assessment-Banner-L2.jpg"/>
        <xdr:cNvPicPr>
          <a:picLocks noChangeAspect="1"/>
        </xdr:cNvPicPr>
      </xdr:nvPicPr>
      <xdr:blipFill>
        <a:blip xmlns:r="http://schemas.openxmlformats.org/officeDocument/2006/relationships" r:embed="rId1"/>
        <a:stretch>
          <a:fillRect/>
        </a:stretch>
      </xdr:blipFill>
      <xdr:spPr>
        <a:xfrm>
          <a:off x="0" y="0"/>
          <a:ext cx="10477500" cy="1133475"/>
        </a:xfrm>
        <a:prstGeom prst="rect">
          <a:avLst/>
        </a:prstGeom>
      </xdr:spPr>
    </xdr:pic>
    <xdr:clientData/>
  </xdr:twoCellAnchor>
  <xdr:twoCellAnchor editAs="oneCell">
    <xdr:from>
      <xdr:col>2</xdr:col>
      <xdr:colOff>0</xdr:colOff>
      <xdr:row>12</xdr:row>
      <xdr:rowOff>0</xdr:rowOff>
    </xdr:from>
    <xdr:to>
      <xdr:col>3</xdr:col>
      <xdr:colOff>9525</xdr:colOff>
      <xdr:row>47</xdr:row>
      <xdr:rowOff>171450</xdr:rowOff>
    </xdr:to>
    <xdr:pic>
      <xdr:nvPicPr>
        <xdr:cNvPr id="3" name="Picture 2" descr="Assessment-L2-Ad-538px.jpeg">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362575" y="3209925"/>
          <a:ext cx="5124450" cy="68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2505075</xdr:colOff>
      <xdr:row>1</xdr:row>
      <xdr:rowOff>152400</xdr:rowOff>
    </xdr:from>
    <xdr:to>
      <xdr:col>13</xdr:col>
      <xdr:colOff>12925</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9458325" y="342900"/>
          <a:ext cx="1622650" cy="1251014"/>
        </a:xfrm>
        <a:prstGeom prst="rect">
          <a:avLst/>
        </a:prstGeom>
      </xdr:spPr>
    </xdr:pic>
    <xdr:clientData/>
  </xdr:twoCellAnchor>
  <xdr:twoCellAnchor>
    <xdr:from>
      <xdr:col>12</xdr:col>
      <xdr:colOff>0</xdr:colOff>
      <xdr:row>1</xdr:row>
      <xdr:rowOff>9525</xdr:rowOff>
    </xdr:from>
    <xdr:to>
      <xdr:col>12</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xdr:row>
      <xdr:rowOff>0</xdr:rowOff>
    </xdr:from>
    <xdr:to>
      <xdr:col>13</xdr:col>
      <xdr:colOff>76200</xdr:colOff>
      <xdr:row>37</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13</xdr:col>
      <xdr:colOff>76200</xdr:colOff>
      <xdr:row>67</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xdr:row>
      <xdr:rowOff>0</xdr:rowOff>
    </xdr:from>
    <xdr:to>
      <xdr:col>13</xdr:col>
      <xdr:colOff>76200</xdr:colOff>
      <xdr:row>37</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13</xdr:col>
      <xdr:colOff>76200</xdr:colOff>
      <xdr:row>67</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9</xdr:row>
      <xdr:rowOff>0</xdr:rowOff>
    </xdr:from>
    <xdr:to>
      <xdr:col>13</xdr:col>
      <xdr:colOff>76200</xdr:colOff>
      <xdr:row>37</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13</xdr:col>
      <xdr:colOff>76200</xdr:colOff>
      <xdr:row>67</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9</xdr:row>
      <xdr:rowOff>0</xdr:rowOff>
    </xdr:from>
    <xdr:to>
      <xdr:col>13</xdr:col>
      <xdr:colOff>76200</xdr:colOff>
      <xdr:row>37</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13</xdr:col>
      <xdr:colOff>76200</xdr:colOff>
      <xdr:row>67</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0</xdr:rowOff>
    </xdr:from>
    <xdr:to>
      <xdr:col>13</xdr:col>
      <xdr:colOff>76200</xdr:colOff>
      <xdr:row>97</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2505075</xdr:colOff>
      <xdr:row>1</xdr:row>
      <xdr:rowOff>152400</xdr:rowOff>
    </xdr:from>
    <xdr:to>
      <xdr:col>6</xdr:col>
      <xdr:colOff>79600</xdr:colOff>
      <xdr:row>8</xdr:row>
      <xdr:rowOff>69914</xdr:rowOff>
    </xdr:to>
    <xdr:pic>
      <xdr:nvPicPr>
        <xdr:cNvPr id="2" name="Picture 1" descr="Pie_chart_legend_4.jpg"/>
        <xdr:cNvPicPr>
          <a:picLocks noChangeAspect="1"/>
        </xdr:cNvPicPr>
      </xdr:nvPicPr>
      <xdr:blipFill>
        <a:blip xmlns:r="http://schemas.openxmlformats.org/officeDocument/2006/relationships" r:embed="rId1"/>
        <a:stretch>
          <a:fillRect/>
        </a:stretch>
      </xdr:blipFill>
      <xdr:spPr>
        <a:xfrm>
          <a:off x="11306175" y="342900"/>
          <a:ext cx="1622650" cy="1251014"/>
        </a:xfrm>
        <a:prstGeom prst="rect">
          <a:avLst/>
        </a:prstGeom>
      </xdr:spPr>
    </xdr:pic>
    <xdr:clientData/>
  </xdr:twoCellAnchor>
  <xdr:twoCellAnchor>
    <xdr:from>
      <xdr:col>5</xdr:col>
      <xdr:colOff>0</xdr:colOff>
      <xdr:row>1</xdr:row>
      <xdr:rowOff>9525</xdr:rowOff>
    </xdr:from>
    <xdr:to>
      <xdr:col>5</xdr:col>
      <xdr:colOff>2514600</xdr:colOff>
      <xdr:row>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nfo.celerium.com/assessment-tool-help/"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lux.celerium.net/?cmd=view-custom-article&amp;startup-id=2292&amp;section=4&amp;id=23&amp;card-id=283&amp;page-view=true&amp;acot=54469fcd-1389-4475-a635-9682aa4cd4fd&amp;acot=7f7ea295-9a82-4a20-8b00-a41c4a3544b2" TargetMode="External"/><Relationship Id="rId2" Type="http://schemas.openxmlformats.org/officeDocument/2006/relationships/hyperlink" Target="https://lux.celerium.net/?cmd=view-custom-article&amp;startup-id=2292&amp;section=4&amp;id=24&amp;card-id=283&amp;page-view=true&amp;acot=54469fcd-1389-4475-a635-9682aa4cd4fd&amp;acot=7f7ea295-9a82-4a20-8b00-a41c4a3544b2" TargetMode="External"/><Relationship Id="rId3" Type="http://schemas.openxmlformats.org/officeDocument/2006/relationships/hyperlink" Target="https://lux.celerium.net/?cmd=view-custom-article&amp;startup-id=2292&amp;section=4&amp;id=25&amp;card-id=283&amp;page-view=true&amp;acot=54469fcd-1389-4475-a635-9682aa4cd4fd&amp;acot=7f7ea295-9a82-4a20-8b00-a41c4a3544b2" TargetMode="External"/><Relationship Id="rId4" Type="http://schemas.openxmlformats.org/officeDocument/2006/relationships/hyperlink" Target="https://lux.celerium.net/?cmd=view-custom-article&amp;startup-id=2292&amp;section=4&amp;id=26&amp;card-id=283&amp;page-view=true&amp;acot=54469fcd-1389-4475-a635-9682aa4cd4fd&amp;acot=7f7ea295-9a82-4a20-8b00-a41c4a3544b2" TargetMode="External"/><Relationship Id="rId5" Type="http://schemas.openxmlformats.org/officeDocument/2006/relationships/hyperlink" Target="https://lux.celerium.net/?cmd=view-custom-article&amp;startup-id=2292&amp;section=4&amp;id=47&amp;card-id=283&amp;page-view=true&amp;acot=54469fcd-1389-4475-a635-9682aa4cd4fd&amp;acot=7f7ea295-9a82-4a20-8b00-a41c4a3544b2" TargetMode="External"/><Relationship Id="rId6" Type="http://schemas.openxmlformats.org/officeDocument/2006/relationships/hyperlink" Target="https://lux.celerium.net/?cmd=view-custom-article&amp;startup-id=2292&amp;section=4&amp;id=101&amp;card-id=283&amp;page-view=true&amp;acot=54469fcd-1389-4475-a635-9682aa4cd4fd&amp;acot=7f7ea295-9a82-4a20-8b00-a41c4a3544b2" TargetMode="External"/><Relationship Id="rId7" Type="http://schemas.openxmlformats.org/officeDocument/2006/relationships/hyperlink" Target="https://lux.celerium.net/?cmd=view-custom-article&amp;startup-id=2292&amp;section=4&amp;id=49&amp;card-id=283&amp;page-view=true&amp;acot=54469fcd-1389-4475-a635-9682aa4cd4fd&amp;acot=7f7ea295-9a82-4a20-8b00-a41c4a3544b2" TargetMode="External"/><Relationship Id="rId8" Type="http://schemas.openxmlformats.org/officeDocument/2006/relationships/hyperlink" Target="https://lux.celerium.net/?cmd=view-custom-article&amp;startup-id=2292&amp;section=4&amp;id=104&amp;card-id=283&amp;page-view=true&amp;acot=54469fcd-1389-4475-a635-9682aa4cd4fd&amp;acot=7f7ea295-9a82-4a20-8b00-a41c4a3544b2" TargetMode="External"/><Relationship Id="rId9" Type="http://schemas.openxmlformats.org/officeDocument/2006/relationships/hyperlink" Target="https://lux.celerium.net/?cmd=view-custom-article&amp;startup-id=2292&amp;section=4&amp;id=50&amp;card-id=283&amp;page-view=true&amp;acot=54469fcd-1389-4475-a635-9682aa4cd4fd&amp;acot=7f7ea295-9a82-4a20-8b00-a41c4a3544b2" TargetMode="External"/><Relationship Id="rId10" Type="http://schemas.openxmlformats.org/officeDocument/2006/relationships/hyperlink" Target="https://lux.celerium.net/?cmd=view-custom-article&amp;startup-id=2292&amp;section=4&amp;id=105&amp;card-id=283&amp;page-view=true&amp;acot=54469fcd-1389-4475-a635-9682aa4cd4fd&amp;acot=7f7ea295-9a82-4a20-8b00-a41c4a3544b2" TargetMode="External"/><Relationship Id="rId11" Type="http://schemas.openxmlformats.org/officeDocument/2006/relationships/hyperlink" Target="https://lux.celerium.net/?cmd=view-custom-article&amp;startup-id=2292&amp;section=4&amp;id=48&amp;card-id=283&amp;page-view=true&amp;acot=54469fcd-1389-4475-a635-9682aa4cd4fd&amp;acot=7f7ea295-9a82-4a20-8b00-a41c4a3544b2" TargetMode="External"/><Relationship Id="rId12" Type="http://schemas.openxmlformats.org/officeDocument/2006/relationships/hyperlink" Target="https://lux.celerium.net/?cmd=view-custom-article&amp;startup-id=2292&amp;section=4&amp;id=102&amp;card-id=283&amp;page-view=true&amp;acot=54469fcd-1389-4475-a635-9682aa4cd4fd&amp;acot=7f7ea295-9a82-4a20-8b00-a41c4a3544b2" TargetMode="External"/><Relationship Id="rId13" Type="http://schemas.openxmlformats.org/officeDocument/2006/relationships/hyperlink" Target="https://lux.celerium.net/?cmd=view-custom-article&amp;startup-id=2292&amp;section=4&amp;id=103&amp;card-id=283&amp;page-view=true&amp;acot=54469fcd-1389-4475-a635-9682aa4cd4fd&amp;acot=7f7ea295-9a82-4a20-8b00-a41c4a3544b2" TargetMode="External"/><Relationship Id="rId14" Type="http://schemas.openxmlformats.org/officeDocument/2006/relationships/hyperlink" Target="https://lux.celerium.net/?cmd=view-custom-article&amp;startup-id=2292&amp;section=4&amp;id=106&amp;card-id=283&amp;page-view=true&amp;acot=54469fcd-1389-4475-a635-9682aa4cd4fd&amp;acot=7f7ea295-9a82-4a20-8b00-a41c4a3544b2" TargetMode="External"/><Relationship Id="rId15" Type="http://schemas.openxmlformats.org/officeDocument/2006/relationships/hyperlink" Target="https://lux.celerium.net/?cmd=view-custom-article&amp;startup-id=2292&amp;section=4&amp;id=44&amp;card-id=283&amp;page-view=true&amp;acot=54469fcd-1389-4475-a635-9682aa4cd4fd&amp;acot=7f7ea295-9a82-4a20-8b00-a41c4a3544b2" TargetMode="External"/><Relationship Id="rId16" Type="http://schemas.openxmlformats.org/officeDocument/2006/relationships/hyperlink" Target="https://lux.celerium.net/?cmd=view-custom-article&amp;startup-id=2292&amp;section=4&amp;id=51&amp;card-id=283&amp;page-view=true&amp;acot=54469fcd-1389-4475-a635-9682aa4cd4fd&amp;acot=7f7ea295-9a82-4a20-8b00-a41c4a3544b2" TargetMode="External"/><Relationship Id="rId17" Type="http://schemas.openxmlformats.org/officeDocument/2006/relationships/hyperlink" Target="https://lux.celerium.net/?cmd=view-custom-article&amp;startup-id=2292&amp;section=4&amp;id=63&amp;card-id=283&amp;page-view=true&amp;acot=54469fcd-1389-4475-a635-9682aa4cd4fd&amp;acot=7f7ea295-9a82-4a20-8b00-a41c4a3544b2" TargetMode="External"/><Relationship Id="rId18" Type="http://schemas.openxmlformats.org/officeDocument/2006/relationships/hyperlink" Target="https://lux.celerium.net/?cmd=view-custom-article&amp;startup-id=2292&amp;section=4&amp;id=45&amp;card-id=283&amp;page-view=true&amp;acot=54469fcd-1389-4475-a635-9682aa4cd4fd&amp;acot=7f7ea295-9a82-4a20-8b00-a41c4a3544b2" TargetMode="External"/><Relationship Id="rId19" Type="http://schemas.openxmlformats.org/officeDocument/2006/relationships/hyperlink" Target="https://lux.celerium.net/?cmd=view-custom-article&amp;startup-id=2292&amp;section=4&amp;id=46&amp;card-id=283&amp;page-view=true&amp;acot=54469fcd-1389-4475-a635-9682aa4cd4fd&amp;acot=7f7ea295-9a82-4a20-8b00-a41c4a3544b2" TargetMode="External"/><Relationship Id="rId20" Type="http://schemas.openxmlformats.org/officeDocument/2006/relationships/hyperlink" Target="https://lux.celerium.net/?cmd=view-custom-article&amp;startup-id=2292&amp;section=4&amp;id=100&amp;card-id=283&amp;page-view=true&amp;acot=54469fcd-1389-4475-a635-9682aa4cd4fd&amp;acot=7f7ea295-9a82-4a20-8b00-a41c4a3544b2" TargetMode="External"/><Relationship Id="rId21" Type="http://schemas.openxmlformats.org/officeDocument/2006/relationships/hyperlink" Target="https://lux.celerium.net/?cmd=view-custom-article&amp;startup-id=2292&amp;section=4&amp;id=99&amp;card-id=283&amp;page-view=true&amp;acot=54469fcd-1389-4475-a635-9682aa4cd4fd&amp;acot=7f7ea295-9a82-4a20-8b00-a41c4a3544b2" TargetMode="External"/><Relationship Id="rId22" Type="http://schemas.openxmlformats.org/officeDocument/2006/relationships/hyperlink" Target="https://lux.celerium.net/?cmd=view-custom-article&amp;startup-id=2292&amp;section=4&amp;id=43&amp;card-id=283&amp;page-view=true&amp;acot=54469fcd-1389-4475-a635-9682aa4cd4fd&amp;acot=7f7ea295-9a82-4a20-8b00-a41c4a3544b2" TargetMode="External"/><Relationship Id="rId2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lux.celerium.net/?cmd=view-custom-article&amp;startup-id=2245&amp;section=4&amp;id=53&amp;card-id=93&amp;page-view=true&amp;acot=54469fcd-1389-4475-a635-9682aa4cd4fd&amp;acot=7f7ea295-9a82-4a20-8b00-a41c4a3544b2" TargetMode="External"/><Relationship Id="rId2" Type="http://schemas.openxmlformats.org/officeDocument/2006/relationships/hyperlink" Target="https://lux.celerium.net/?cmd=view-custom-article&amp;startup-id=2245&amp;section=4&amp;id=52&amp;card-id=93&amp;page-view=true&amp;acot=54469fcd-1389-4475-a635-9682aa4cd4fd&amp;acot=7f7ea295-9a82-4a20-8b00-a41c4a3544b2" TargetMode="External"/><Relationship Id="rId3" Type="http://schemas.openxmlformats.org/officeDocument/2006/relationships/hyperlink" Target="https://lux.celerium.net/?cmd=view-custom-article&amp;startup-id=2245&amp;section=4&amp;id=109&amp;card-id=93&amp;page-view=true&amp;acot=54469fcd-1389-4475-a635-9682aa4cd4fd&amp;acot=7f7ea295-9a82-4a20-8b00-a41c4a3544b2" TargetMode="External"/><Relationship Id="rId4" Type="http://schemas.openxmlformats.org/officeDocument/2006/relationships/hyperlink" Target="https://lux.celerium.net/?cmd=view-custom-article&amp;startup-id=2245&amp;section=4&amp;id=110&amp;card-id=93&amp;page-view=true&amp;acot=54469fcd-1389-4475-a635-9682aa4cd4fd&amp;acot=7f7ea295-9a82-4a20-8b00-a41c4a3544b2" TargetMode="External"/><Relationship Id="rId5" Type="http://schemas.openxmlformats.org/officeDocument/2006/relationships/hyperlink" Target="https://lux.celerium.net/?cmd=view-custom-article&amp;startup-id=2245&amp;section=4&amp;id=115&amp;card-id=93&amp;page-view=true&amp;acot=54469fcd-1389-4475-a635-9682aa4cd4fd&amp;acot=7f7ea295-9a82-4a20-8b00-a41c4a3544b2" TargetMode="External"/><Relationship Id="rId6" Type="http://schemas.openxmlformats.org/officeDocument/2006/relationships/hyperlink" Target="https://lux.celerium.net/?cmd=view-custom-article&amp;startup-id=2245&amp;section=4&amp;id=116&amp;card-id=93&amp;page-view=true&amp;acot=54469fcd-1389-4475-a635-9682aa4cd4fd&amp;acot=7f7ea295-9a82-4a20-8b00-a41c4a3544b2" TargetMode="External"/><Relationship Id="rId7" Type="http://schemas.openxmlformats.org/officeDocument/2006/relationships/hyperlink" Target="https://lux.celerium.net/?cmd=view-custom-article&amp;startup-id=2245&amp;section=4&amp;id=54&amp;card-id=93&amp;page-view=true&amp;acot=54469fcd-1389-4475-a635-9682aa4cd4fd&amp;acot=7f7ea295-9a82-4a20-8b00-a41c4a3544b2" TargetMode="External"/><Relationship Id="rId8" Type="http://schemas.openxmlformats.org/officeDocument/2006/relationships/hyperlink" Target="https://lux.celerium.net/?cmd=view-custom-article&amp;startup-id=2245&amp;section=4&amp;id=114&amp;card-id=93&amp;page-view=true&amp;acot=54469fcd-1389-4475-a635-9682aa4cd4fd&amp;acot=7f7ea295-9a82-4a20-8b00-a41c4a3544b2" TargetMode="External"/><Relationship Id="rId9" Type="http://schemas.openxmlformats.org/officeDocument/2006/relationships/hyperlink" Target="https://lux.celerium.net/?cmd=view-custom-article&amp;startup-id=2245&amp;section=4&amp;id=172&amp;card-id=93&amp;page-view=true&amp;acot=54469fcd-1389-4475-a635-9682aa4cd4fd&amp;acot=7f7ea295-9a82-4a20-8b00-a41c4a3544b2" TargetMode="External"/><Relationship Id="rId1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lux.celerium.net/?cmd=view-custom-article&amp;startup-id=2295&amp;section=4&amp;id=56&amp;card-id=124&amp;page-view=true&amp;acot=54469fcd-1389-4475-a635-9682aa4cd4fd&amp;acot=7f7ea295-9a82-4a20-8b00-a41c4a3544b2" TargetMode="External"/><Relationship Id="rId2" Type="http://schemas.openxmlformats.org/officeDocument/2006/relationships/hyperlink" Target="https://lux.celerium.net/?cmd=view-custom-article&amp;startup-id=2295&amp;section=4&amp;id=57&amp;card-id=124&amp;page-view=true&amp;acot=54469fcd-1389-4475-a635-9682aa4cd4fd&amp;acot=7f7ea295-9a82-4a20-8b00-a41c4a3544b2" TargetMode="External"/><Relationship Id="rId3" Type="http://schemas.openxmlformats.org/officeDocument/2006/relationships/hyperlink" Target="https://lux.celerium.net/?cmd=view-custom-article&amp;startup-id=2295&amp;section=4&amp;id=117&amp;card-id=124&amp;page-view=true&amp;acot=54469fcd-1389-4475-a635-9682aa4cd4fd&amp;acot=7f7ea295-9a82-4a20-8b00-a41c4a3544b2"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lux.celerium.net/?cmd=view-custom-article&amp;startup-id=2296&amp;section=4&amp;id=58&amp;card-id=125&amp;page-view=true&amp;acot=54469fcd-1389-4475-a635-9682aa4cd4fd&amp;acot=7f7ea295-9a82-4a20-8b00-a41c4a3544b2" TargetMode="External"/><Relationship Id="rId2" Type="http://schemas.openxmlformats.org/officeDocument/2006/relationships/hyperlink" Target="https://lux.celerium.net/?cmd=view-custom-article&amp;startup-id=2296&amp;section=4&amp;id=61&amp;card-id=125&amp;page-view=true&amp;acot=54469fcd-1389-4475-a635-9682aa4cd4fd&amp;acot=7f7ea295-9a82-4a20-8b00-a41c4a3544b2" TargetMode="External"/><Relationship Id="rId3" Type="http://schemas.openxmlformats.org/officeDocument/2006/relationships/hyperlink" Target="https://lux.celerium.net/?cmd=view-custom-article&amp;startup-id=2296&amp;section=4&amp;id=62&amp;card-id=125&amp;page-view=true&amp;acot=54469fcd-1389-4475-a635-9682aa4cd4fd&amp;acot=7f7ea295-9a82-4a20-8b00-a41c4a3544b2" TargetMode="External"/><Relationship Id="rId4" Type="http://schemas.openxmlformats.org/officeDocument/2006/relationships/hyperlink" Target="https://lux.celerium.net/?cmd=view-custom-article&amp;startup-id=2296&amp;section=4&amp;id=64&amp;card-id=125&amp;page-view=true&amp;acot=54469fcd-1389-4475-a635-9682aa4cd4fd&amp;acot=7f7ea295-9a82-4a20-8b00-a41c4a3544b2" TargetMode="External"/><Relationship Id="rId5" Type="http://schemas.openxmlformats.org/officeDocument/2006/relationships/hyperlink" Target="https://lux.celerium.net/?cmd=view-custom-article&amp;startup-id=2296&amp;section=4&amp;id=118&amp;card-id=125&amp;page-view=true&amp;acot=54469fcd-1389-4475-a635-9682aa4cd4fd&amp;acot=7f7ea295-9a82-4a20-8b00-a41c4a3544b2" TargetMode="External"/><Relationship Id="rId6" Type="http://schemas.openxmlformats.org/officeDocument/2006/relationships/hyperlink" Target="https://lux.celerium.net/?cmd=view-custom-article&amp;startup-id=2296&amp;section=4&amp;id=59&amp;card-id=125&amp;page-view=true&amp;acot=54469fcd-1389-4475-a635-9682aa4cd4fd&amp;acot=7f7ea295-9a82-4a20-8b00-a41c4a3544b2" TargetMode="External"/><Relationship Id="rId7" Type="http://schemas.openxmlformats.org/officeDocument/2006/relationships/hyperlink" Target="https://lux.celerium.net/?cmd=view-custom-article&amp;startup-id=2296&amp;section=4&amp;id=119&amp;card-id=125&amp;page-view=true&amp;acot=54469fcd-1389-4475-a635-9682aa4cd4fd&amp;acot=7f7ea295-9a82-4a20-8b00-a41c4a3544b2" TargetMode="External"/><Relationship Id="rId8" Type="http://schemas.openxmlformats.org/officeDocument/2006/relationships/hyperlink" Target="https://lux.celerium.net/?cmd=view-custom-article&amp;startup-id=2296&amp;section=4&amp;id=120&amp;card-id=125&amp;page-view=true&amp;acot=54469fcd-1389-4475-a635-9682aa4cd4fd&amp;acot=7f7ea295-9a82-4a20-8b00-a41c4a3544b2" TargetMode="External"/><Relationship Id="rId9" Type="http://schemas.openxmlformats.org/officeDocument/2006/relationships/hyperlink" Target="https://lux.celerium.net/?cmd=view-custom-article&amp;startup-id=2296&amp;section=4&amp;id=60&amp;card-id=125&amp;page-view=true&amp;acot=54469fcd-1389-4475-a635-9682aa4cd4fd&amp;acot=7f7ea295-9a82-4a20-8b00-a41c4a3544b2" TargetMode="External"/><Relationship Id="rId10"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lux.celerium.net/?cmd=view-custom-article&amp;startup-id=2297&amp;section=4&amp;id=27&amp;card-id=126&amp;page-view=true&amp;acot=54469fcd-1389-4475-a635-9682aa4cd4fd&amp;acot=7f7ea295-9a82-4a20-8b00-a41c4a3544b2" TargetMode="External"/><Relationship Id="rId2" Type="http://schemas.openxmlformats.org/officeDocument/2006/relationships/hyperlink" Target="https://lux.celerium.net/?cmd=view-custom-article&amp;startup-id=2297&amp;section=4&amp;id=28&amp;card-id=126&amp;page-view=true&amp;acot=54469fcd-1389-4475-a635-9682aa4cd4fd&amp;acot=7f7ea295-9a82-4a20-8b00-a41c4a3544b2" TargetMode="External"/><Relationship Id="rId3" Type="http://schemas.openxmlformats.org/officeDocument/2006/relationships/hyperlink" Target="https://lux.celerium.net/?cmd=view-custom-article&amp;startup-id=2297&amp;section=4&amp;id=69&amp;card-id=126&amp;page-view=true&amp;acot=54469fcd-1389-4475-a635-9682aa4cd4fd&amp;acot=7f7ea295-9a82-4a20-8b00-a41c4a3544b2" TargetMode="External"/><Relationship Id="rId4" Type="http://schemas.openxmlformats.org/officeDocument/2006/relationships/hyperlink" Target="https://lux.celerium.net/?cmd=view-custom-article&amp;startup-id=2297&amp;section=4&amp;id=70&amp;card-id=126&amp;page-view=true&amp;acot=54469fcd-1389-4475-a635-9682aa4cd4fd&amp;acot=7f7ea295-9a82-4a20-8b00-a41c4a3544b2" TargetMode="External"/><Relationship Id="rId5" Type="http://schemas.openxmlformats.org/officeDocument/2006/relationships/hyperlink" Target="https://lux.celerium.net/?cmd=view-custom-article&amp;startup-id=2297&amp;section=4&amp;id=122&amp;card-id=126&amp;page-view=true&amp;acot=54469fcd-1389-4475-a635-9682aa4cd4fd&amp;acot=7f7ea295-9a82-4a20-8b00-a41c4a3544b2" TargetMode="External"/><Relationship Id="rId6" Type="http://schemas.openxmlformats.org/officeDocument/2006/relationships/hyperlink" Target="https://lux.celerium.net/?cmd=view-custom-article&amp;startup-id=2297&amp;section=4&amp;id=123&amp;card-id=126&amp;page-view=true&amp;acot=54469fcd-1389-4475-a635-9682aa4cd4fd&amp;acot=7f7ea295-9a82-4a20-8b00-a41c4a3544b2" TargetMode="External"/><Relationship Id="rId7" Type="http://schemas.openxmlformats.org/officeDocument/2006/relationships/hyperlink" Target="https://lux.celerium.net/?cmd=view-custom-article&amp;startup-id=2297&amp;section=4&amp;id=124&amp;card-id=126&amp;page-view=true&amp;acot=54469fcd-1389-4475-a635-9682aa4cd4fd&amp;acot=7f7ea295-9a82-4a20-8b00-a41c4a3544b2" TargetMode="External"/><Relationship Id="rId8" Type="http://schemas.openxmlformats.org/officeDocument/2006/relationships/hyperlink" Target="https://lux.celerium.net/?cmd=view-custom-article&amp;startup-id=2297&amp;section=4&amp;id=125&amp;card-id=126&amp;page-view=true&amp;acot=54469fcd-1389-4475-a635-9682aa4cd4fd&amp;acot=7f7ea295-9a82-4a20-8b00-a41c4a3544b2" TargetMode="External"/><Relationship Id="rId9" Type="http://schemas.openxmlformats.org/officeDocument/2006/relationships/hyperlink" Target="https://lux.celerium.net/?cmd=view-custom-article&amp;startup-id=2297&amp;section=4&amp;id=65&amp;card-id=126&amp;page-view=true&amp;acot=54469fcd-1389-4475-a635-9682aa4cd4fd&amp;acot=7f7ea295-9a82-4a20-8b00-a41c4a3544b2" TargetMode="External"/><Relationship Id="rId10" Type="http://schemas.openxmlformats.org/officeDocument/2006/relationships/hyperlink" Target="https://lux.celerium.net/?cmd=view-custom-article&amp;startup-id=2297&amp;section=4&amp;id=66&amp;card-id=126&amp;page-view=true&amp;acot=54469fcd-1389-4475-a635-9682aa4cd4fd&amp;acot=7f7ea295-9a82-4a20-8b00-a41c4a3544b2" TargetMode="External"/><Relationship Id="rId11" Type="http://schemas.openxmlformats.org/officeDocument/2006/relationships/hyperlink" Target="https://lux.celerium.net/?cmd=view-custom-article&amp;startup-id=2297&amp;section=4&amp;id=68&amp;card-id=126&amp;page-view=true&amp;acot=54469fcd-1389-4475-a635-9682aa4cd4fd&amp;acot=7f7ea295-9a82-4a20-8b00-a41c4a3544b2" TargetMode="External"/><Relationship Id="rId1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lux.celerium.net/?cmd=view-custom-article&amp;startup-id=2298&amp;section=4&amp;id=71&amp;card-id=127&amp;page-view=true&amp;acot=54469fcd-1389-4475-a635-9682aa4cd4fd&amp;acot=7f7ea295-9a82-4a20-8b00-a41c4a3544b2" TargetMode="External"/><Relationship Id="rId2" Type="http://schemas.openxmlformats.org/officeDocument/2006/relationships/hyperlink" Target="https://lux.celerium.net/?cmd=view-custom-article&amp;startup-id=2298&amp;section=4&amp;id=126&amp;card-id=127&amp;page-view=true&amp;acot=54469fcd-1389-4475-a635-9682aa4cd4fd&amp;acot=7f7ea295-9a82-4a20-8b00-a41c4a3544b2" TargetMode="External"/><Relationship Id="rId3" Type="http://schemas.openxmlformats.org/officeDocument/2006/relationships/hyperlink" Target="https://lux.celerium.net/?cmd=view-custom-article&amp;startup-id=2298&amp;section=4&amp;id=127&amp;card-id=127&amp;page-view=true&amp;acot=54469fcd-1389-4475-a635-9682aa4cd4fd&amp;acot=7f7ea295-9a82-4a20-8b00-a41c4a3544b2"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lux.celerium.net/?cmd=view-custom-article&amp;startup-id=2299&amp;section=4&amp;id=76&amp;card-id=128&amp;page-view=true&amp;acot=54469fcd-1389-4475-a635-9682aa4cd4fd&amp;acot=7f7ea295-9a82-4a20-8b00-a41c4a3544b2" TargetMode="External"/><Relationship Id="rId2" Type="http://schemas.openxmlformats.org/officeDocument/2006/relationships/hyperlink" Target="https://lux.celerium.net/?cmd=view-custom-article&amp;startup-id=2299&amp;section=4&amp;id=77&amp;card-id=128&amp;page-view=true&amp;acot=54469fcd-1389-4475-a635-9682aa4cd4fd&amp;acot=7f7ea295-9a82-4a20-8b00-a41c4a3544b2" TargetMode="External"/><Relationship Id="rId3" Type="http://schemas.openxmlformats.org/officeDocument/2006/relationships/hyperlink" Target="https://lux.celerium.net/?cmd=view-custom-article&amp;startup-id=2299&amp;section=4&amp;id=128&amp;card-id=128&amp;page-view=true&amp;acot=54469fcd-1389-4475-a635-9682aa4cd4fd&amp;acot=7f7ea295-9a82-4a20-8b00-a41c4a3544b2" TargetMode="External"/><Relationship Id="rId4" Type="http://schemas.openxmlformats.org/officeDocument/2006/relationships/hyperlink" Target="https://lux.celerium.net/?cmd=view-custom-article&amp;startup-id=2299&amp;section=4&amp;id=129&amp;card-id=128&amp;page-view=true&amp;acot=54469fcd-1389-4475-a635-9682aa4cd4fd&amp;acot=7f7ea295-9a82-4a20-8b00-a41c4a3544b2" TargetMode="External"/><Relationship Id="rId5" Type="http://schemas.openxmlformats.org/officeDocument/2006/relationships/hyperlink" Target="https://lux.celerium.net/?cmd=view-custom-article&amp;startup-id=2299&amp;section=4&amp;id=78&amp;card-id=128&amp;page-view=true&amp;acot=54469fcd-1389-4475-a635-9682aa4cd4fd&amp;acot=7f7ea295-9a82-4a20-8b00-a41c4a3544b2" TargetMode="External"/><Relationship Id="rId6" Type="http://schemas.openxmlformats.org/officeDocument/2006/relationships/hyperlink" Target="https://lux.celerium.net/?cmd=view-custom-article&amp;startup-id=2299&amp;section=4&amp;id=79&amp;card-id=128&amp;page-view=true&amp;acot=54469fcd-1389-4475-a635-9682aa4cd4fd&amp;acot=7f7ea295-9a82-4a20-8b00-a41c4a3544b2" TargetMode="External"/><Relationship Id="rId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lux.celerium.net/?cmd=view-custom-article&amp;startup-id=2300&amp;section=4&amp;id=29&amp;card-id=129&amp;page-view=true&amp;acot=54469fcd-1389-4475-a635-9682aa4cd4fd&amp;acot=7f7ea295-9a82-4a20-8b00-a41c4a3544b2" TargetMode="External"/><Relationship Id="rId2" Type="http://schemas.openxmlformats.org/officeDocument/2006/relationships/hyperlink" Target="https://lux.celerium.net/?cmd=view-custom-article&amp;startup-id=2300&amp;section=4&amp;id=80&amp;card-id=129&amp;page-view=true&amp;acot=54469fcd-1389-4475-a635-9682aa4cd4fd&amp;acot=7f7ea295-9a82-4a20-8b00-a41c4a3544b2" TargetMode="External"/><Relationship Id="rId3" Type="http://schemas.openxmlformats.org/officeDocument/2006/relationships/hyperlink" Target="https://lux.celerium.net/?cmd=view-custom-article&amp;startup-id=2300&amp;section=4&amp;id=81&amp;card-id=129&amp;page-view=true&amp;acot=54469fcd-1389-4475-a635-9682aa4cd4fd&amp;acot=7f7ea295-9a82-4a20-8b00-a41c4a3544b2" TargetMode="External"/><Relationship Id="rId4" Type="http://schemas.openxmlformats.org/officeDocument/2006/relationships/hyperlink" Target="https://lux.celerium.net/?cmd=view-custom-article&amp;startup-id=2300&amp;section=4&amp;id=130&amp;card-id=129&amp;page-view=true&amp;acot=54469fcd-1389-4475-a635-9682aa4cd4fd&amp;acot=7f7ea295-9a82-4a20-8b00-a41c4a3544b2" TargetMode="External"/><Relationship Id="rId5" Type="http://schemas.openxmlformats.org/officeDocument/2006/relationships/hyperlink" Target="https://lux.celerium.net/?cmd=view-custom-article&amp;startup-id=2300&amp;section=4&amp;id=132&amp;card-id=129&amp;page-view=true&amp;acot=54469fcd-1389-4475-a635-9682aa4cd4fd&amp;acot=7f7ea295-9a82-4a20-8b00-a41c4a3544b2" TargetMode="External"/><Relationship Id="rId6" Type="http://schemas.openxmlformats.org/officeDocument/2006/relationships/hyperlink" Target="https://lux.celerium.net/?cmd=view-custom-article&amp;startup-id=2300&amp;section=4&amp;id=133&amp;card-id=129&amp;page-view=true&amp;acot=54469fcd-1389-4475-a635-9682aa4cd4fd&amp;acot=7f7ea295-9a82-4a20-8b00-a41c4a3544b2" TargetMode="External"/><Relationship Id="rId7" Type="http://schemas.openxmlformats.org/officeDocument/2006/relationships/hyperlink" Target="https://lux.celerium.net/?cmd=view-custom-article&amp;startup-id=2300&amp;section=4&amp;id=82&amp;card-id=129&amp;page-view=true&amp;acot=54469fcd-1389-4475-a635-9682aa4cd4fd&amp;acot=7f7ea295-9a82-4a20-8b00-a41c4a3544b2" TargetMode="External"/><Relationship Id="rId8" Type="http://schemas.openxmlformats.org/officeDocument/2006/relationships/hyperlink" Target="https://lux.celerium.net/?cmd=view-custom-article&amp;startup-id=2300&amp;section=4&amp;id=131&amp;card-id=129&amp;page-view=true&amp;acot=54469fcd-1389-4475-a635-9682aa4cd4fd&amp;acot=7f7ea295-9a82-4a20-8b00-a41c4a3544b2" TargetMode="External"/><Relationship Id="rId9" Type="http://schemas.openxmlformats.org/officeDocument/2006/relationships/hyperlink" Target="https://lux.celerium.net/?cmd=view-custom-article&amp;startup-id=2300&amp;section=4&amp;id=87&amp;card-id=129&amp;page-view=true&amp;acot=54469fcd-1389-4475-a635-9682aa4cd4fd&amp;acot=7f7ea295-9a82-4a20-8b00-a41c4a3544b2" TargetMode="External"/><Relationship Id="rId10"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lux.celerium.net/?cmd=view-custom-article&amp;startup-id=2301&amp;section=4&amp;id=83&amp;card-id=130&amp;page-view=true&amp;acot=54469fcd-1389-4475-a635-9682aa4cd4fd&amp;acot=7f7ea295-9a82-4a20-8b00-a41c4a3544b2" TargetMode="External"/><Relationship Id="rId2" Type="http://schemas.openxmlformats.org/officeDocument/2006/relationships/hyperlink" Target="https://lux.celerium.net/?cmd=view-custom-article&amp;startup-id=2301&amp;section=4&amp;id=84&amp;card-id=130&amp;page-view=true&amp;acot=54469fcd-1389-4475-a635-9682aa4cd4fd&amp;acot=7f7ea295-9a82-4a20-8b00-a41c4a3544b2"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lux.celerium.net/?cmd=view-custom-article&amp;startup-id=2302&amp;section=4&amp;id=30&amp;card-id=131&amp;page-view=true&amp;acot=54469fcd-1389-4475-a635-9682aa4cd4fd&amp;acot=7f7ea295-9a82-4a20-8b00-a41c4a3544b2" TargetMode="External"/><Relationship Id="rId2" Type="http://schemas.openxmlformats.org/officeDocument/2006/relationships/hyperlink" Target="https://lux.celerium.net/?cmd=view-custom-article&amp;startup-id=2302&amp;section=4&amp;id=31&amp;card-id=131&amp;page-view=true&amp;acot=54469fcd-1389-4475-a635-9682aa4cd4fd&amp;acot=7f7ea295-9a82-4a20-8b00-a41c4a3544b2" TargetMode="External"/><Relationship Id="rId3" Type="http://schemas.openxmlformats.org/officeDocument/2006/relationships/hyperlink" Target="https://lux.celerium.net/?cmd=view-custom-article&amp;startup-id=2302&amp;section=4&amp;id=32&amp;card-id=131&amp;page-view=true&amp;acot=54469fcd-1389-4475-a635-9682aa4cd4fd&amp;acot=7f7ea295-9a82-4a20-8b00-a41c4a3544b2" TargetMode="External"/><Relationship Id="rId4" Type="http://schemas.openxmlformats.org/officeDocument/2006/relationships/hyperlink" Target="https://lux.celerium.net/?cmd=view-custom-article&amp;startup-id=2302&amp;section=4&amp;id=33&amp;card-id=131&amp;page-view=true&amp;acot=54469fcd-1389-4475-a635-9682aa4cd4fd&amp;acot=7f7ea295-9a82-4a20-8b00-a41c4a3544b2" TargetMode="External"/><Relationship Id="rId5" Type="http://schemas.openxmlformats.org/officeDocument/2006/relationships/hyperlink" Target="https://lux.celerium.net/?cmd=view-custom-article&amp;startup-id=2302&amp;section=4&amp;id=85&amp;card-id=131&amp;page-view=true&amp;acot=54469fcd-1389-4475-a635-9682aa4cd4fd&amp;acot=7f7ea295-9a82-4a20-8b00-a41c4a3544b2" TargetMode="External"/><Relationship Id="rId6" Type="http://schemas.openxmlformats.org/officeDocument/2006/relationships/hyperlink" Target="https://lux.celerium.net/?cmd=view-custom-article&amp;startup-id=2302&amp;section=4&amp;id=134&amp;card-id=131&amp;page-view=true&amp;acot=54469fcd-1389-4475-a635-9682aa4cd4fd&amp;acot=7f7ea295-9a82-4a20-8b00-a41c4a3544b2" TargetMode="External"/><Relationship Id="rId7"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lux.celerium.net/?cmd=view-custom-article&amp;startup-id=2305&amp;section=4&amp;id=88&amp;card-id=134&amp;page-view=true&amp;acot=54469fcd-1389-4475-a635-9682aa4cd4fd&amp;acot=7f7ea295-9a82-4a20-8b00-a41c4a3544b2" TargetMode="External"/><Relationship Id="rId2" Type="http://schemas.openxmlformats.org/officeDocument/2006/relationships/hyperlink" Target="https://lux.celerium.net/?cmd=view-custom-article&amp;startup-id=2305&amp;section=4&amp;id=89&amp;card-id=134&amp;page-view=true&amp;acot=54469fcd-1389-4475-a635-9682aa4cd4fd&amp;acot=7f7ea295-9a82-4a20-8b00-a41c4a3544b2" TargetMode="External"/><Relationship Id="rId3" Type="http://schemas.openxmlformats.org/officeDocument/2006/relationships/hyperlink" Target="https://lux.celerium.net/?cmd=view-custom-article&amp;startup-id=2305&amp;section=4&amp;id=90&amp;card-id=134&amp;page-view=true&amp;acot=54469fcd-1389-4475-a635-9682aa4cd4fd&amp;acot=7f7ea295-9a82-4a20-8b00-a41c4a3544b2"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lux.celerium.net/?cmd=view-custom-article&amp;startup-id=2306&amp;section=4&amp;id=92&amp;card-id=135&amp;page-view=true&amp;acot=54469fcd-1389-4475-a635-9682aa4cd4fd&amp;acot=7f7ea295-9a82-4a20-8b00-a41c4a3544b2" TargetMode="External"/><Relationship Id="rId2" Type="http://schemas.openxmlformats.org/officeDocument/2006/relationships/hyperlink" Target="https://lux.celerium.net/?cmd=view-custom-article&amp;startup-id=2306&amp;section=4&amp;id=93&amp;card-id=135&amp;page-view=true&amp;acot=54469fcd-1389-4475-a635-9682aa4cd4fd&amp;acot=7f7ea295-9a82-4a20-8b00-a41c4a3544b2" TargetMode="External"/><Relationship Id="rId3" Type="http://schemas.openxmlformats.org/officeDocument/2006/relationships/hyperlink" Target="https://lux.celerium.net/?cmd=view-custom-article&amp;startup-id=2306&amp;section=4&amp;id=139&amp;card-id=135&amp;page-view=true&amp;acot=54469fcd-1389-4475-a635-9682aa4cd4fd&amp;acot=7f7ea295-9a82-4a20-8b00-a41c4a3544b2" TargetMode="External"/><Relationship Id="rId4" Type="http://schemas.openxmlformats.org/officeDocument/2006/relationships/hyperlink" Target="https://lux.celerium.net/?cmd=view-custom-article&amp;startup-id=2306&amp;section=4&amp;id=91&amp;card-id=135&amp;page-view=true&amp;acot=54469fcd-1389-4475-a635-9682aa4cd4fd&amp;acot=7f7ea295-9a82-4a20-8b00-a41c4a3544b2" TargetMode="External"/><Relationship Id="rId5"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lux.celerium.net/?cmd=view-custom-article&amp;startup-id=2309&amp;section=4&amp;id=36&amp;card-id=138&amp;page-view=true&amp;acot=54469fcd-1389-4475-a635-9682aa4cd4fd&amp;acot=7f7ea295-9a82-4a20-8b00-a41c4a3544b2" TargetMode="External"/><Relationship Id="rId2" Type="http://schemas.openxmlformats.org/officeDocument/2006/relationships/hyperlink" Target="https://lux.celerium.net/?cmd=view-custom-article&amp;startup-id=2309&amp;section=4&amp;id=37&amp;card-id=138&amp;page-view=true&amp;acot=54469fcd-1389-4475-a635-9682aa4cd4fd&amp;acot=7f7ea295-9a82-4a20-8b00-a41c4a3544b2" TargetMode="External"/><Relationship Id="rId3" Type="http://schemas.openxmlformats.org/officeDocument/2006/relationships/hyperlink" Target="https://lux.celerium.net/?cmd=view-custom-article&amp;startup-id=2309&amp;section=4&amp;id=38&amp;card-id=138&amp;page-view=true&amp;acot=54469fcd-1389-4475-a635-9682aa4cd4fd&amp;acot=7f7ea295-9a82-4a20-8b00-a41c4a3544b2" TargetMode="External"/><Relationship Id="rId4" Type="http://schemas.openxmlformats.org/officeDocument/2006/relationships/hyperlink" Target="https://lux.celerium.net/?cmd=view-custom-article&amp;startup-id=2309&amp;section=4&amp;id=39&amp;card-id=138&amp;page-view=true&amp;acot=54469fcd-1389-4475-a635-9682aa4cd4fd&amp;acot=7f7ea295-9a82-4a20-8b00-a41c4a3544b2" TargetMode="External"/><Relationship Id="rId5" Type="http://schemas.openxmlformats.org/officeDocument/2006/relationships/hyperlink" Target="https://lux.celerium.net/?cmd=view-custom-article&amp;startup-id=2309&amp;section=4&amp;id=96&amp;card-id=138&amp;page-view=true&amp;acot=54469fcd-1389-4475-a635-9682aa4cd4fd&amp;acot=7f7ea295-9a82-4a20-8b00-a41c4a3544b2" TargetMode="External"/><Relationship Id="rId6" Type="http://schemas.openxmlformats.org/officeDocument/2006/relationships/hyperlink" Target="https://lux.celerium.net/?cmd=view-custom-article&amp;startup-id=2309&amp;section=4&amp;id=97&amp;card-id=138&amp;page-view=true&amp;acot=54469fcd-1389-4475-a635-9682aa4cd4fd&amp;acot=7f7ea295-9a82-4a20-8b00-a41c4a3544b2" TargetMode="External"/><Relationship Id="rId7" Type="http://schemas.openxmlformats.org/officeDocument/2006/relationships/hyperlink" Target="https://lux.celerium.net/?cmd=view-custom-article&amp;startup-id=2309&amp;section=4&amp;id=98&amp;card-id=138&amp;page-view=true&amp;acot=54469fcd-1389-4475-a635-9682aa4cd4fd&amp;acot=7f7ea295-9a82-4a20-8b00-a41c4a3544b2" TargetMode="External"/><Relationship Id="rId8"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lux.celerium.net/?cmd=view-custom-article&amp;startup-id=2308&amp;section=4&amp;id=34&amp;card-id=137&amp;page-view=true&amp;acot=54469fcd-1389-4475-a635-9682aa4cd4fd&amp;acot=7f7ea295-9a82-4a20-8b00-a41c4a3544b2" TargetMode="External"/><Relationship Id="rId2" Type="http://schemas.openxmlformats.org/officeDocument/2006/relationships/hyperlink" Target="https://lux.celerium.net/?cmd=view-custom-article&amp;startup-id=2308&amp;section=4&amp;id=35&amp;card-id=137&amp;page-view=true&amp;acot=54469fcd-1389-4475-a635-9682aa4cd4fd&amp;acot=7f7ea295-9a82-4a20-8b00-a41c4a3544b2" TargetMode="External"/><Relationship Id="rId3" Type="http://schemas.openxmlformats.org/officeDocument/2006/relationships/hyperlink" Target="https://lux.celerium.net/?cmd=view-custom-article&amp;startup-id=2308&amp;section=4&amp;id=152&amp;card-id=137&amp;page-view=true&amp;acot=54469fcd-1389-4475-a635-9682aa4cd4fd&amp;acot=7f7ea295-9a82-4a20-8b00-a41c4a3544b2" TargetMode="External"/><Relationship Id="rId4" Type="http://schemas.openxmlformats.org/officeDocument/2006/relationships/hyperlink" Target="https://lux.celerium.net/?cmd=view-custom-article&amp;startup-id=2308&amp;section=4&amp;id=142&amp;card-id=137&amp;page-view=true&amp;acot=54469fcd-1389-4475-a635-9682aa4cd4fd&amp;acot=7f7ea295-9a82-4a20-8b00-a41c4a3544b2" TargetMode="External"/><Relationship Id="rId5" Type="http://schemas.openxmlformats.org/officeDocument/2006/relationships/hyperlink" Target="https://lux.celerium.net/?cmd=view-custom-article&amp;startup-id=2308&amp;section=4&amp;id=94&amp;card-id=137&amp;page-view=true&amp;acot=54469fcd-1389-4475-a635-9682aa4cd4fd&amp;acot=7f7ea295-9a82-4a20-8b00-a41c4a3544b2" TargetMode="External"/><Relationship Id="rId6" Type="http://schemas.openxmlformats.org/officeDocument/2006/relationships/hyperlink" Target="https://lux.celerium.net/?cmd=view-custom-article&amp;startup-id=2308&amp;section=4&amp;id=153&amp;card-id=137&amp;page-view=true&amp;acot=54469fcd-1389-4475-a635-9682aa4cd4fd&amp;acot=7f7ea295-9a82-4a20-8b00-a41c4a3544b2" TargetMode="External"/><Relationship Id="rId7" Type="http://schemas.openxmlformats.org/officeDocument/2006/relationships/hyperlink" Target="https://lux.celerium.net/?cmd=view-custom-article&amp;startup-id=2308&amp;section=4&amp;id=156&amp;card-id=137&amp;page-view=true&amp;acot=54469fcd-1389-4475-a635-9682aa4cd4fd&amp;acot=7f7ea295-9a82-4a20-8b00-a41c4a3544b2" TargetMode="External"/><Relationship Id="rId8" Type="http://schemas.openxmlformats.org/officeDocument/2006/relationships/hyperlink" Target="https://lux.celerium.net/?cmd=view-custom-article&amp;startup-id=2308&amp;section=4&amp;id=157&amp;card-id=137&amp;page-view=true&amp;acot=54469fcd-1389-4475-a635-9682aa4cd4fd&amp;acot=7f7ea295-9a82-4a20-8b00-a41c4a3544b2" TargetMode="External"/><Relationship Id="rId9" Type="http://schemas.openxmlformats.org/officeDocument/2006/relationships/hyperlink" Target="https://lux.celerium.net/?cmd=view-custom-article&amp;startup-id=2308&amp;section=4&amp;id=158&amp;card-id=137&amp;page-view=true&amp;acot=54469fcd-1389-4475-a635-9682aa4cd4fd&amp;acot=7f7ea295-9a82-4a20-8b00-a41c4a3544b2" TargetMode="External"/><Relationship Id="rId10" Type="http://schemas.openxmlformats.org/officeDocument/2006/relationships/hyperlink" Target="https://lux.celerium.net/?cmd=view-custom-article&amp;startup-id=2308&amp;section=4&amp;id=143&amp;card-id=137&amp;page-view=true&amp;acot=54469fcd-1389-4475-a635-9682aa4cd4fd&amp;acot=7f7ea295-9a82-4a20-8b00-a41c4a3544b2" TargetMode="External"/><Relationship Id="rId11" Type="http://schemas.openxmlformats.org/officeDocument/2006/relationships/hyperlink" Target="https://lux.celerium.net/?cmd=view-custom-article&amp;startup-id=2308&amp;section=4&amp;id=144&amp;card-id=137&amp;page-view=true&amp;acot=54469fcd-1389-4475-a635-9682aa4cd4fd&amp;acot=7f7ea295-9a82-4a20-8b00-a41c4a3544b2" TargetMode="External"/><Relationship Id="rId12" Type="http://schemas.openxmlformats.org/officeDocument/2006/relationships/hyperlink" Target="https://lux.celerium.net/?cmd=view-custom-article&amp;startup-id=2308&amp;section=4&amp;id=145&amp;card-id=137&amp;page-view=true&amp;acot=54469fcd-1389-4475-a635-9682aa4cd4fd&amp;acot=7f7ea295-9a82-4a20-8b00-a41c4a3544b2" TargetMode="External"/><Relationship Id="rId13" Type="http://schemas.openxmlformats.org/officeDocument/2006/relationships/hyperlink" Target="https://lux.celerium.net/?cmd=view-custom-article&amp;startup-id=2308&amp;section=4&amp;id=146&amp;card-id=137&amp;page-view=true&amp;acot=54469fcd-1389-4475-a635-9682aa4cd4fd&amp;acot=7f7ea295-9a82-4a20-8b00-a41c4a3544b2" TargetMode="External"/><Relationship Id="rId14" Type="http://schemas.openxmlformats.org/officeDocument/2006/relationships/hyperlink" Target="https://lux.celerium.net/?cmd=view-custom-article&amp;startup-id=2308&amp;section=4&amp;id=147&amp;card-id=137&amp;page-view=true&amp;acot=54469fcd-1389-4475-a635-9682aa4cd4fd&amp;acot=7f7ea295-9a82-4a20-8b00-a41c4a3544b2" TargetMode="External"/><Relationship Id="rId15" Type="http://schemas.openxmlformats.org/officeDocument/2006/relationships/hyperlink" Target="https://lux.celerium.net/?cmd=view-custom-article&amp;startup-id=2308&amp;section=4&amp;id=148&amp;card-id=137&amp;page-view=true&amp;acot=54469fcd-1389-4475-a635-9682aa4cd4fd&amp;acot=7f7ea295-9a82-4a20-8b00-a41c4a3544b2" TargetMode="External"/><Relationship Id="rId16" Type="http://schemas.openxmlformats.org/officeDocument/2006/relationships/hyperlink" Target="https://lux.celerium.net/?cmd=view-custom-article&amp;startup-id=2308&amp;section=4&amp;id=150&amp;card-id=137&amp;page-view=true&amp;acot=54469fcd-1389-4475-a635-9682aa4cd4fd&amp;acot=7f7ea295-9a82-4a20-8b00-a41c4a3544b2" TargetMode="External"/><Relationship Id="rId17"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dimension ref="A1:C57"/>
  <sheetViews>
    <sheetView tabSelected="1" workbookViewId="0"/>
  </sheetViews>
  <sheetFormatPr defaultRowHeight="15"/>
  <cols>
    <col min="1" max="1" width="76.7109375" customWidth="1"/>
    <col min="2" max="2" width="3.7109375" customWidth="1"/>
    <col min="3" max="3" width="76.7109375" customWidth="1"/>
  </cols>
  <sheetData>
    <row r="1" spans="1:3" ht="88" customHeight="1"/>
    <row r="2" spans="1:3">
      <c r="A2" s="1">
        <f>IF(ISERROR(C9), "MISSING X34 WORKBOOK. PLEASE MAKE SURE IT IS IN THE SAME FOLDER AS THIS WORKBOOK AND OPEN IT ALONGSIDE THIS ONE. THANK YOU.", "")</f>
        <v>0</v>
      </c>
    </row>
    <row r="3" spans="1:3">
      <c r="A3" s="2" t="s">
        <v>0</v>
      </c>
      <c r="C3" s="3" t="s">
        <v>32</v>
      </c>
    </row>
    <row r="5" spans="1:3">
      <c r="A5" s="4" t="s">
        <v>1</v>
      </c>
      <c r="C5" s="5" t="s">
        <v>33</v>
      </c>
    </row>
    <row r="6" spans="1:3">
      <c r="A6" s="4" t="s">
        <v>2</v>
      </c>
      <c r="C6" s="6"/>
    </row>
    <row r="7" spans="1:3">
      <c r="A7" s="4" t="s">
        <v>3</v>
      </c>
      <c r="C7" s="7" t="s">
        <v>34</v>
      </c>
    </row>
    <row r="8" spans="1:3">
      <c r="C8" s="7"/>
    </row>
    <row r="9" spans="1:3">
      <c r="A9" s="8" t="s">
        <v>4</v>
      </c>
      <c r="C9" s="7" t="s">
        <v>35</v>
      </c>
    </row>
    <row r="10" spans="1:3">
      <c r="A10" t="s">
        <v>6</v>
      </c>
      <c r="C10" s="7"/>
    </row>
    <row r="11" spans="1:3">
      <c r="A11" t="s">
        <v>7</v>
      </c>
    </row>
    <row r="12" spans="1:3">
      <c r="A12" t="s">
        <v>8</v>
      </c>
      <c r="C12" s="9" t="s">
        <v>36</v>
      </c>
    </row>
    <row r="13" spans="1:3">
      <c r="A13" t="s">
        <v>9</v>
      </c>
    </row>
    <row r="14" spans="1:3">
      <c r="A14" t="s">
        <v>10</v>
      </c>
    </row>
    <row r="15" spans="1:3">
      <c r="A15" t="s">
        <v>11</v>
      </c>
    </row>
    <row r="17" spans="1:1">
      <c r="A17" s="8" t="s">
        <v>12</v>
      </c>
    </row>
    <row r="18" spans="1:1">
      <c r="A18" s="4" t="s">
        <v>13</v>
      </c>
    </row>
    <row r="19" spans="1:1">
      <c r="A19" s="4" t="s">
        <v>14</v>
      </c>
    </row>
    <row r="20" spans="1:1">
      <c r="A20" s="4" t="s">
        <v>15</v>
      </c>
    </row>
    <row r="21" spans="1:1">
      <c r="A21" s="4" t="s">
        <v>16</v>
      </c>
    </row>
    <row r="22" spans="1:1">
      <c r="A22" s="4" t="s">
        <v>17</v>
      </c>
    </row>
    <row r="23" spans="1:1">
      <c r="A23" s="4" t="s">
        <v>18</v>
      </c>
    </row>
    <row r="24" spans="1:1">
      <c r="A24" s="4" t="s">
        <v>19</v>
      </c>
    </row>
    <row r="25" spans="1:1">
      <c r="A25" s="4" t="s">
        <v>20</v>
      </c>
    </row>
    <row r="26" spans="1:1">
      <c r="A26" s="4" t="s">
        <v>21</v>
      </c>
    </row>
    <row r="27" spans="1:1">
      <c r="A27" s="4" t="s">
        <v>22</v>
      </c>
    </row>
    <row r="28" spans="1:1">
      <c r="A28" s="4" t="s">
        <v>23</v>
      </c>
    </row>
    <row r="29" spans="1:1">
      <c r="A29" s="4" t="s">
        <v>24</v>
      </c>
    </row>
    <row r="30" spans="1:1">
      <c r="A30" s="4" t="s">
        <v>25</v>
      </c>
    </row>
    <row r="31" spans="1:1">
      <c r="A31" s="4" t="s">
        <v>26</v>
      </c>
    </row>
    <row r="35" spans="1:1">
      <c r="A35" s="10" t="s">
        <v>27</v>
      </c>
    </row>
    <row r="36" spans="1:1">
      <c r="A36" s="10"/>
    </row>
    <row r="37" spans="1:1">
      <c r="A37" s="10"/>
    </row>
    <row r="38" spans="1:1">
      <c r="A38" s="10"/>
    </row>
    <row r="39" spans="1:1">
      <c r="A39" s="10"/>
    </row>
    <row r="40" spans="1:1">
      <c r="A40" s="10"/>
    </row>
    <row r="41" spans="1:1">
      <c r="A41" s="10"/>
    </row>
    <row r="42" spans="1:1">
      <c r="A42" s="10"/>
    </row>
    <row r="43" spans="1:1">
      <c r="A43" s="10"/>
    </row>
    <row r="44" spans="1:1">
      <c r="A44" s="10"/>
    </row>
    <row r="45" spans="1:1">
      <c r="A45" s="10"/>
    </row>
    <row r="46" spans="1:1">
      <c r="A46" s="10"/>
    </row>
    <row r="47" spans="1:1">
      <c r="A47" s="10"/>
    </row>
    <row r="48" spans="1:1">
      <c r="A48" s="10"/>
    </row>
    <row r="49" spans="1:1">
      <c r="A49" s="10"/>
    </row>
    <row r="50" spans="1:1">
      <c r="A50" s="10"/>
    </row>
    <row r="51" spans="1:1">
      <c r="A51" s="11" t="s">
        <v>28</v>
      </c>
    </row>
    <row r="53" spans="1:1">
      <c r="A53" s="11" t="s">
        <v>29</v>
      </c>
    </row>
    <row r="54" spans="1:1">
      <c r="A54" s="11" t="s">
        <v>30</v>
      </c>
    </row>
    <row r="56" spans="1:1">
      <c r="A56" t="s">
        <v>31</v>
      </c>
    </row>
    <row r="57" spans="1:1">
      <c r="A57">
        <f>"2.36c_cfp"</f>
        <v>0</v>
      </c>
    </row>
  </sheetData>
  <mergeCells count="4">
    <mergeCell ref="A35:A50"/>
    <mergeCell ref="C5:C6"/>
    <mergeCell ref="C7:C8"/>
    <mergeCell ref="C9:C10"/>
  </mergeCells>
  <hyperlinks>
    <hyperlink ref="A5" location="'DASHBOARD- PRACTICES'!A1" display="Dashboard for Practices"/>
    <hyperlink ref="C5" r:id="rId1"/>
    <hyperlink ref="A6" location="'DASHBOARD- DOCUMENTATION'!A1" display="Documentation Answers"/>
    <hyperlink ref="A7" location="'DASHBOARD- OBJECTIVE EVIDENCE'!A1" display="Dashboard for Objective Evidence"/>
    <hyperlink ref="A10" location="'practices&gt;Yes'!F1" display=""/>
    <hyperlink ref="A11" location="'practices&gt;It Does Not Apply'!F1" display=""/>
    <hyperlink ref="A12" location="'practices&gt;Partially'!F1" display=""/>
    <hyperlink ref="C12" location="'CDN-FACILITATED_PRACTICES'!A1" display="Dashboard: all practices facilitated by CDN Compromise Defender."/>
    <hyperlink ref="A13" location="'practices&gt;I Have Done An Altern'!F1" display=""/>
    <hyperlink ref="A14" location="'practices&gt;No'!F1" display=""/>
    <hyperlink ref="A15" location="'practices&gt;No Answer'!F1" display=""/>
    <hyperlink ref="A18" location="'AC'!A1" display="Access Control (AC)"/>
    <hyperlink ref="A19" location="'AU'!A1" display="Audit and Accountability (AU)"/>
    <hyperlink ref="A20" location="'AT'!A1" display="Awareness and Training (AT)"/>
    <hyperlink ref="A21" location="'CM'!A1" display="Configuration Management (CM)"/>
    <hyperlink ref="A22" location="'IA'!A1" display="Identification and Authentication (IA)"/>
    <hyperlink ref="A23" location="'IR'!A1" display="Incident Response (IR)"/>
    <hyperlink ref="A24" location="'MA'!A1" display="Maintenance (MA)"/>
    <hyperlink ref="A25" location="'MP'!A1" display="Media Protection (MP)"/>
    <hyperlink ref="A26" location="'PS'!A1" display="Personnel Security (PS)"/>
    <hyperlink ref="A27" location="'PE'!A1" display="Physical Protection (PE)"/>
    <hyperlink ref="A28" location="'RA'!A1" display="Risk Assessment (RA)"/>
    <hyperlink ref="A29" location="'CA'!A1" display="Security Assessment (CA)"/>
    <hyperlink ref="A30" location="'SI'!A1" display="System and Information Integrity (SI)"/>
    <hyperlink ref="A31" location="'SC'!A1" display="Systems and Communications Protections (S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dimension ref="A1:P173"/>
  <sheetViews>
    <sheetView showGridLines="0" workbookViewId="0"/>
  </sheetViews>
  <sheetFormatPr defaultRowHeight="15"/>
  <cols>
    <col min="12" max="12" width="3.7109375" customWidth="1"/>
    <col min="13" max="13" width="61.7109375" customWidth="1"/>
    <col min="14" max="16" width="9.140625" style="12"/>
  </cols>
  <sheetData>
    <row r="1" spans="1:16">
      <c r="A1" s="13" t="s">
        <v>37</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57</v>
      </c>
      <c r="B11" s="21"/>
      <c r="C11" s="21"/>
      <c r="D11" s="21"/>
      <c r="E11" s="21"/>
      <c r="F11" s="21"/>
      <c r="G11" s="21"/>
      <c r="H11" s="20" t="s">
        <v>58</v>
      </c>
      <c r="I11" s="20"/>
      <c r="J11" s="20"/>
      <c r="K11" s="20"/>
      <c r="M11" s="22" t="s">
        <v>59</v>
      </c>
    </row>
    <row r="12" spans="1:16" ht="48" customHeight="1">
      <c r="A12" s="23" t="s">
        <v>60</v>
      </c>
      <c r="B12" s="23"/>
      <c r="C12" s="23"/>
      <c r="D12" s="23"/>
      <c r="E12" s="23"/>
      <c r="F12" s="23"/>
      <c r="G12" s="23"/>
      <c r="H12" s="24" t="s">
        <v>51</v>
      </c>
      <c r="I12" s="24"/>
      <c r="J12" s="24"/>
      <c r="K12" s="24"/>
      <c r="M12" s="22" t="s">
        <v>61</v>
      </c>
      <c r="N12" s="12">
        <f>vlookup(H12,data_summary_by_question!U2:V7,2, FALSE)</f>
        <v>0</v>
      </c>
      <c r="O12" s="12">
        <f>average(N12:N17)</f>
        <v>0</v>
      </c>
      <c r="P12" s="12">
        <f>H12</f>
        <v>0</v>
      </c>
    </row>
    <row r="13" spans="1:16" ht="48" customHeight="1">
      <c r="A13" s="23" t="s">
        <v>62</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3" t="s">
        <v>63</v>
      </c>
      <c r="B14" s="23"/>
      <c r="C14" s="23"/>
      <c r="D14" s="23"/>
      <c r="E14" s="23"/>
      <c r="F14" s="23"/>
      <c r="G14" s="23"/>
      <c r="H14" s="24" t="s">
        <v>51</v>
      </c>
      <c r="I14" s="24"/>
      <c r="J14" s="24"/>
      <c r="K14" s="24"/>
      <c r="M14" s="22" t="s">
        <v>61</v>
      </c>
      <c r="N14" s="12">
        <f>vlookup(H14,data_summary_by_question!U2:V7,2, FALSE)</f>
        <v>0</v>
      </c>
      <c r="P14" s="12">
        <f>H14</f>
        <v>0</v>
      </c>
    </row>
    <row r="15" spans="1:16" ht="48" customHeight="1">
      <c r="A15" s="23" t="s">
        <v>64</v>
      </c>
      <c r="B15" s="23"/>
      <c r="C15" s="23"/>
      <c r="D15" s="23"/>
      <c r="E15" s="23"/>
      <c r="F15" s="23"/>
      <c r="G15" s="23"/>
      <c r="H15" s="24" t="s">
        <v>51</v>
      </c>
      <c r="I15" s="24"/>
      <c r="J15" s="24"/>
      <c r="K15" s="24"/>
      <c r="M15" s="22" t="s">
        <v>61</v>
      </c>
      <c r="N15" s="12">
        <f>vlookup(H15,data_summary_by_question!U2:V7,2, FALSE)</f>
        <v>0</v>
      </c>
      <c r="P15" s="12">
        <f>H15</f>
        <v>0</v>
      </c>
    </row>
    <row r="16" spans="1:16" ht="48" customHeight="1">
      <c r="A16" s="23" t="s">
        <v>65</v>
      </c>
      <c r="B16" s="23"/>
      <c r="C16" s="23"/>
      <c r="D16" s="23"/>
      <c r="E16" s="23"/>
      <c r="F16" s="23"/>
      <c r="G16" s="23"/>
      <c r="H16" s="24" t="s">
        <v>51</v>
      </c>
      <c r="I16" s="24"/>
      <c r="J16" s="24"/>
      <c r="K16" s="24"/>
      <c r="M16" s="22" t="s">
        <v>61</v>
      </c>
      <c r="N16" s="12">
        <f>vlookup(H16,data_summary_by_question!U2:V7,2, FALSE)</f>
        <v>0</v>
      </c>
      <c r="P16" s="12">
        <f>H16</f>
        <v>0</v>
      </c>
    </row>
    <row r="17" spans="1:16" ht="48" customHeight="1">
      <c r="A17" s="23" t="s">
        <v>66</v>
      </c>
      <c r="B17" s="23"/>
      <c r="C17" s="23"/>
      <c r="D17" s="23"/>
      <c r="E17" s="23"/>
      <c r="F17" s="23"/>
      <c r="G17" s="23"/>
      <c r="H17" s="24" t="s">
        <v>51</v>
      </c>
      <c r="I17" s="24"/>
      <c r="J17" s="24"/>
      <c r="K17" s="24"/>
      <c r="M17" s="22" t="s">
        <v>61</v>
      </c>
      <c r="N17" s="12">
        <f>vlookup(H17,data_summary_by_question!U2:V7,2, FALSE)</f>
        <v>0</v>
      </c>
      <c r="P17" s="12">
        <f>H17</f>
        <v>0</v>
      </c>
    </row>
    <row r="18" spans="1:16" ht="48" customHeight="1">
      <c r="A18" s="25" t="s">
        <v>67</v>
      </c>
      <c r="B18" s="25"/>
      <c r="C18" s="25"/>
      <c r="D18" s="25"/>
      <c r="E18" s="25"/>
      <c r="F18" s="25"/>
      <c r="G18" s="25"/>
      <c r="H18" s="26" t="s">
        <v>51</v>
      </c>
      <c r="I18" s="26"/>
      <c r="J18" s="26"/>
      <c r="K18" s="26"/>
      <c r="M18" s="26" t="s">
        <v>68</v>
      </c>
    </row>
    <row r="20" spans="1:16" ht="48" customHeight="1">
      <c r="A20" s="21" t="s">
        <v>69</v>
      </c>
      <c r="B20" s="21"/>
      <c r="C20" s="21"/>
      <c r="D20" s="21"/>
      <c r="E20" s="21"/>
      <c r="F20" s="21"/>
      <c r="G20" s="21"/>
      <c r="H20" s="20" t="s">
        <v>58</v>
      </c>
      <c r="I20" s="20"/>
      <c r="J20" s="20"/>
      <c r="K20" s="20"/>
      <c r="M20" s="22" t="s">
        <v>59</v>
      </c>
    </row>
    <row r="21" spans="1:16" ht="48" customHeight="1">
      <c r="A21" s="23" t="s">
        <v>70</v>
      </c>
      <c r="B21" s="23"/>
      <c r="C21" s="23"/>
      <c r="D21" s="23"/>
      <c r="E21" s="23"/>
      <c r="F21" s="23"/>
      <c r="G21" s="23"/>
      <c r="H21" s="24" t="s">
        <v>51</v>
      </c>
      <c r="I21" s="24"/>
      <c r="J21" s="24"/>
      <c r="K21" s="24"/>
      <c r="M21" s="22" t="s">
        <v>61</v>
      </c>
      <c r="N21" s="12">
        <f>vlookup(H21,data_summary_by_question!U2:V7,2, FALSE)</f>
        <v>0</v>
      </c>
      <c r="O21" s="12">
        <f>average(N21:N22)</f>
        <v>0</v>
      </c>
      <c r="P21" s="12">
        <f>H21</f>
        <v>0</v>
      </c>
    </row>
    <row r="22" spans="1:16" ht="48" customHeight="1">
      <c r="A22" s="23" t="s">
        <v>71</v>
      </c>
      <c r="B22" s="23"/>
      <c r="C22" s="23"/>
      <c r="D22" s="23"/>
      <c r="E22" s="23"/>
      <c r="F22" s="23"/>
      <c r="G22" s="23"/>
      <c r="H22" s="24" t="s">
        <v>51</v>
      </c>
      <c r="I22" s="24"/>
      <c r="J22" s="24"/>
      <c r="K22" s="24"/>
      <c r="M22" s="22" t="s">
        <v>61</v>
      </c>
      <c r="N22" s="12">
        <f>vlookup(H22,data_summary_by_question!U2:V7,2, FALSE)</f>
        <v>0</v>
      </c>
      <c r="P22" s="12">
        <f>H22</f>
        <v>0</v>
      </c>
    </row>
    <row r="23" spans="1:16" ht="48" customHeight="1">
      <c r="A23" s="25" t="s">
        <v>67</v>
      </c>
      <c r="B23" s="25"/>
      <c r="C23" s="25"/>
      <c r="D23" s="25"/>
      <c r="E23" s="25"/>
      <c r="F23" s="25"/>
      <c r="G23" s="25"/>
      <c r="H23" s="26" t="s">
        <v>51</v>
      </c>
      <c r="I23" s="26"/>
      <c r="J23" s="26"/>
      <c r="K23" s="26"/>
      <c r="M23" s="26" t="s">
        <v>68</v>
      </c>
    </row>
    <row r="25" spans="1:16" ht="48" customHeight="1">
      <c r="A25" s="21" t="s">
        <v>72</v>
      </c>
      <c r="B25" s="21"/>
      <c r="C25" s="21"/>
      <c r="D25" s="21"/>
      <c r="E25" s="21"/>
      <c r="F25" s="21"/>
      <c r="G25" s="21"/>
      <c r="H25" s="20" t="s">
        <v>58</v>
      </c>
      <c r="I25" s="20"/>
      <c r="J25" s="20"/>
      <c r="K25" s="20"/>
      <c r="M25" s="22" t="s">
        <v>59</v>
      </c>
    </row>
    <row r="26" spans="1:16" ht="48" customHeight="1">
      <c r="A26" s="23" t="s">
        <v>73</v>
      </c>
      <c r="B26" s="23"/>
      <c r="C26" s="23"/>
      <c r="D26" s="23"/>
      <c r="E26" s="23"/>
      <c r="F26" s="23"/>
      <c r="G26" s="23"/>
      <c r="H26" s="24" t="s">
        <v>51</v>
      </c>
      <c r="I26" s="24"/>
      <c r="J26" s="24"/>
      <c r="K26" s="24"/>
      <c r="M26" s="22" t="s">
        <v>61</v>
      </c>
      <c r="N26" s="12">
        <f>vlookup(H26,data_summary_by_question!U2:V7,2, FALSE)</f>
        <v>0</v>
      </c>
      <c r="O26" s="12">
        <f>average(N26:N31)</f>
        <v>0</v>
      </c>
      <c r="P26" s="12">
        <f>H26</f>
        <v>0</v>
      </c>
    </row>
    <row r="27" spans="1:16" ht="48" customHeight="1">
      <c r="A27" s="23" t="s">
        <v>74</v>
      </c>
      <c r="B27" s="23"/>
      <c r="C27" s="23"/>
      <c r="D27" s="23"/>
      <c r="E27" s="23"/>
      <c r="F27" s="23"/>
      <c r="G27" s="23"/>
      <c r="H27" s="24" t="s">
        <v>51</v>
      </c>
      <c r="I27" s="24"/>
      <c r="J27" s="24"/>
      <c r="K27" s="24"/>
      <c r="M27" s="22" t="s">
        <v>61</v>
      </c>
      <c r="N27" s="12">
        <f>vlookup(H27,data_summary_by_question!U2:V7,2, FALSE)</f>
        <v>0</v>
      </c>
      <c r="P27" s="12">
        <f>H27</f>
        <v>0</v>
      </c>
    </row>
    <row r="28" spans="1:16" ht="48" customHeight="1">
      <c r="A28" s="23" t="s">
        <v>75</v>
      </c>
      <c r="B28" s="23"/>
      <c r="C28" s="23"/>
      <c r="D28" s="23"/>
      <c r="E28" s="23"/>
      <c r="F28" s="23"/>
      <c r="G28" s="23"/>
      <c r="H28" s="24" t="s">
        <v>51</v>
      </c>
      <c r="I28" s="24"/>
      <c r="J28" s="24"/>
      <c r="K28" s="24"/>
      <c r="M28" s="22" t="s">
        <v>61</v>
      </c>
      <c r="N28" s="12">
        <f>vlookup(H28,data_summary_by_question!U2:V7,2, FALSE)</f>
        <v>0</v>
      </c>
      <c r="P28" s="12">
        <f>H28</f>
        <v>0</v>
      </c>
    </row>
    <row r="29" spans="1:16" ht="48" customHeight="1">
      <c r="A29" s="23" t="s">
        <v>76</v>
      </c>
      <c r="B29" s="23"/>
      <c r="C29" s="23"/>
      <c r="D29" s="23"/>
      <c r="E29" s="23"/>
      <c r="F29" s="23"/>
      <c r="G29" s="23"/>
      <c r="H29" s="24" t="s">
        <v>51</v>
      </c>
      <c r="I29" s="24"/>
      <c r="J29" s="24"/>
      <c r="K29" s="24"/>
      <c r="M29" s="22" t="s">
        <v>61</v>
      </c>
      <c r="N29" s="12">
        <f>vlookup(H29,data_summary_by_question!U2:V7,2, FALSE)</f>
        <v>0</v>
      </c>
      <c r="P29" s="12">
        <f>H29</f>
        <v>0</v>
      </c>
    </row>
    <row r="30" spans="1:16" ht="48" customHeight="1">
      <c r="A30" s="23" t="s">
        <v>77</v>
      </c>
      <c r="B30" s="23"/>
      <c r="C30" s="23"/>
      <c r="D30" s="23"/>
      <c r="E30" s="23"/>
      <c r="F30" s="23"/>
      <c r="G30" s="23"/>
      <c r="H30" s="24" t="s">
        <v>51</v>
      </c>
      <c r="I30" s="24"/>
      <c r="J30" s="24"/>
      <c r="K30" s="24"/>
      <c r="M30" s="22" t="s">
        <v>61</v>
      </c>
      <c r="N30" s="12">
        <f>vlookup(H30,data_summary_by_question!U2:V7,2, FALSE)</f>
        <v>0</v>
      </c>
      <c r="P30" s="12">
        <f>H30</f>
        <v>0</v>
      </c>
    </row>
    <row r="31" spans="1:16" ht="48" customHeight="1">
      <c r="A31" s="23" t="s">
        <v>78</v>
      </c>
      <c r="B31" s="23"/>
      <c r="C31" s="23"/>
      <c r="D31" s="23"/>
      <c r="E31" s="23"/>
      <c r="F31" s="23"/>
      <c r="G31" s="23"/>
      <c r="H31" s="24" t="s">
        <v>51</v>
      </c>
      <c r="I31" s="24"/>
      <c r="J31" s="24"/>
      <c r="K31" s="24"/>
      <c r="M31" s="22" t="s">
        <v>61</v>
      </c>
      <c r="N31" s="12">
        <f>vlookup(H31,data_summary_by_question!U2:V7,2, FALSE)</f>
        <v>0</v>
      </c>
      <c r="P31" s="12">
        <f>H31</f>
        <v>0</v>
      </c>
    </row>
    <row r="32" spans="1:16" ht="48" customHeight="1">
      <c r="A32" s="25" t="s">
        <v>67</v>
      </c>
      <c r="B32" s="25"/>
      <c r="C32" s="25"/>
      <c r="D32" s="25"/>
      <c r="E32" s="25"/>
      <c r="F32" s="25"/>
      <c r="G32" s="25"/>
      <c r="H32" s="26" t="s">
        <v>51</v>
      </c>
      <c r="I32" s="26"/>
      <c r="J32" s="26"/>
      <c r="K32" s="26"/>
      <c r="M32" s="26" t="s">
        <v>68</v>
      </c>
    </row>
    <row r="34" spans="1:16" ht="48" customHeight="1">
      <c r="A34" s="21" t="s">
        <v>79</v>
      </c>
      <c r="B34" s="21"/>
      <c r="C34" s="21"/>
      <c r="D34" s="21"/>
      <c r="E34" s="21"/>
      <c r="F34" s="21"/>
      <c r="G34" s="21"/>
      <c r="H34" s="20" t="s">
        <v>58</v>
      </c>
      <c r="I34" s="20"/>
      <c r="J34" s="20"/>
      <c r="K34" s="20"/>
      <c r="M34" s="22" t="s">
        <v>59</v>
      </c>
    </row>
    <row r="35" spans="1:16" ht="48" customHeight="1">
      <c r="A35" s="23" t="s">
        <v>80</v>
      </c>
      <c r="B35" s="23"/>
      <c r="C35" s="23"/>
      <c r="D35" s="23"/>
      <c r="E35" s="23"/>
      <c r="F35" s="23"/>
      <c r="G35" s="23"/>
      <c r="H35" s="24" t="s">
        <v>51</v>
      </c>
      <c r="I35" s="24"/>
      <c r="J35" s="24"/>
      <c r="K35" s="24"/>
      <c r="M35" s="22" t="s">
        <v>61</v>
      </c>
      <c r="N35" s="12">
        <f>vlookup(H35,data_summary_by_question!U2:V7,2, FALSE)</f>
        <v>0</v>
      </c>
      <c r="O35" s="12">
        <f>average(N35:N39)</f>
        <v>0</v>
      </c>
      <c r="P35" s="12">
        <f>H35</f>
        <v>0</v>
      </c>
    </row>
    <row r="36" spans="1:16" ht="48" customHeight="1">
      <c r="A36" s="23" t="s">
        <v>81</v>
      </c>
      <c r="B36" s="23"/>
      <c r="C36" s="23"/>
      <c r="D36" s="23"/>
      <c r="E36" s="23"/>
      <c r="F36" s="23"/>
      <c r="G36" s="23"/>
      <c r="H36" s="24" t="s">
        <v>51</v>
      </c>
      <c r="I36" s="24"/>
      <c r="J36" s="24"/>
      <c r="K36" s="24"/>
      <c r="M36" s="22" t="s">
        <v>61</v>
      </c>
      <c r="N36" s="12">
        <f>vlookup(H36,data_summary_by_question!U2:V7,2, FALSE)</f>
        <v>0</v>
      </c>
      <c r="P36" s="12">
        <f>H36</f>
        <v>0</v>
      </c>
    </row>
    <row r="37" spans="1:16" ht="48" customHeight="1">
      <c r="A37" s="23" t="s">
        <v>82</v>
      </c>
      <c r="B37" s="23"/>
      <c r="C37" s="23"/>
      <c r="D37" s="23"/>
      <c r="E37" s="23"/>
      <c r="F37" s="23"/>
      <c r="G37" s="23"/>
      <c r="H37" s="24" t="s">
        <v>51</v>
      </c>
      <c r="I37" s="24"/>
      <c r="J37" s="24"/>
      <c r="K37" s="24"/>
      <c r="M37" s="22" t="s">
        <v>61</v>
      </c>
      <c r="N37" s="12">
        <f>vlookup(H37,data_summary_by_question!U2:V7,2, FALSE)</f>
        <v>0</v>
      </c>
      <c r="P37" s="12">
        <f>H37</f>
        <v>0</v>
      </c>
    </row>
    <row r="38" spans="1:16" ht="48" customHeight="1">
      <c r="A38" s="23" t="s">
        <v>83</v>
      </c>
      <c r="B38" s="23"/>
      <c r="C38" s="23"/>
      <c r="D38" s="23"/>
      <c r="E38" s="23"/>
      <c r="F38" s="23"/>
      <c r="G38" s="23"/>
      <c r="H38" s="24" t="s">
        <v>51</v>
      </c>
      <c r="I38" s="24"/>
      <c r="J38" s="24"/>
      <c r="K38" s="24"/>
      <c r="M38" s="22" t="s">
        <v>61</v>
      </c>
      <c r="N38" s="12">
        <f>vlookup(H38,data_summary_by_question!U2:V7,2, FALSE)</f>
        <v>0</v>
      </c>
      <c r="P38" s="12">
        <f>H38</f>
        <v>0</v>
      </c>
    </row>
    <row r="39" spans="1:16" ht="48" customHeight="1">
      <c r="A39" s="23" t="s">
        <v>84</v>
      </c>
      <c r="B39" s="23"/>
      <c r="C39" s="23"/>
      <c r="D39" s="23"/>
      <c r="E39" s="23"/>
      <c r="F39" s="23"/>
      <c r="G39" s="23"/>
      <c r="H39" s="24" t="s">
        <v>51</v>
      </c>
      <c r="I39" s="24"/>
      <c r="J39" s="24"/>
      <c r="K39" s="24"/>
      <c r="M39" s="22" t="s">
        <v>61</v>
      </c>
      <c r="N39" s="12">
        <f>vlookup(H39,data_summary_by_question!U2:V7,2, FALSE)</f>
        <v>0</v>
      </c>
      <c r="P39" s="12">
        <f>H39</f>
        <v>0</v>
      </c>
    </row>
    <row r="40" spans="1:16" ht="48" customHeight="1">
      <c r="A40" s="25" t="s">
        <v>67</v>
      </c>
      <c r="B40" s="25"/>
      <c r="C40" s="25"/>
      <c r="D40" s="25"/>
      <c r="E40" s="25"/>
      <c r="F40" s="25"/>
      <c r="G40" s="25"/>
      <c r="H40" s="26" t="s">
        <v>51</v>
      </c>
      <c r="I40" s="26"/>
      <c r="J40" s="26"/>
      <c r="K40" s="26"/>
      <c r="M40" s="26" t="s">
        <v>68</v>
      </c>
    </row>
    <row r="42" spans="1:16" ht="48" customHeight="1">
      <c r="A42" s="21" t="s">
        <v>85</v>
      </c>
      <c r="B42" s="21"/>
      <c r="C42" s="21"/>
      <c r="D42" s="21"/>
      <c r="E42" s="21"/>
      <c r="F42" s="21"/>
      <c r="G42" s="21"/>
      <c r="H42" s="20" t="s">
        <v>58</v>
      </c>
      <c r="I42" s="20"/>
      <c r="J42" s="20"/>
      <c r="K42" s="20"/>
      <c r="M42" s="22" t="s">
        <v>59</v>
      </c>
    </row>
    <row r="43" spans="1:16" ht="48" customHeight="1">
      <c r="A43" s="23" t="s">
        <v>86</v>
      </c>
      <c r="B43" s="23"/>
      <c r="C43" s="23"/>
      <c r="D43" s="23"/>
      <c r="E43" s="23"/>
      <c r="F43" s="23"/>
      <c r="G43" s="23"/>
      <c r="H43" s="24" t="s">
        <v>51</v>
      </c>
      <c r="I43" s="24"/>
      <c r="J43" s="24"/>
      <c r="K43" s="24"/>
      <c r="M43" s="22" t="s">
        <v>61</v>
      </c>
      <c r="N43" s="12">
        <f>vlookup(H43,data_summary_by_question!U2:V7,2, FALSE)</f>
        <v>0</v>
      </c>
      <c r="O43" s="12">
        <f>average(N43:N45)</f>
        <v>0</v>
      </c>
      <c r="P43" s="12">
        <f>H43</f>
        <v>0</v>
      </c>
    </row>
    <row r="44" spans="1:16" ht="48" customHeight="1">
      <c r="A44" s="23" t="s">
        <v>87</v>
      </c>
      <c r="B44" s="23"/>
      <c r="C44" s="23"/>
      <c r="D44" s="23"/>
      <c r="E44" s="23"/>
      <c r="F44" s="23"/>
      <c r="G44" s="23"/>
      <c r="H44" s="24" t="s">
        <v>51</v>
      </c>
      <c r="I44" s="24"/>
      <c r="J44" s="24"/>
      <c r="K44" s="24"/>
      <c r="M44" s="22" t="s">
        <v>61</v>
      </c>
      <c r="N44" s="12">
        <f>vlookup(H44,data_summary_by_question!U2:V7,2, FALSE)</f>
        <v>0</v>
      </c>
      <c r="P44" s="12">
        <f>H44</f>
        <v>0</v>
      </c>
    </row>
    <row r="45" spans="1:16" ht="48" customHeight="1">
      <c r="A45" s="23" t="s">
        <v>88</v>
      </c>
      <c r="B45" s="23"/>
      <c r="C45" s="23"/>
      <c r="D45" s="23"/>
      <c r="E45" s="23"/>
      <c r="F45" s="23"/>
      <c r="G45" s="23"/>
      <c r="H45" s="24" t="s">
        <v>51</v>
      </c>
      <c r="I45" s="24"/>
      <c r="J45" s="24"/>
      <c r="K45" s="24"/>
      <c r="M45" s="22" t="s">
        <v>61</v>
      </c>
      <c r="N45" s="12">
        <f>vlookup(H45,data_summary_by_question!U2:V7,2, FALSE)</f>
        <v>0</v>
      </c>
      <c r="P45" s="12">
        <f>H45</f>
        <v>0</v>
      </c>
    </row>
    <row r="46" spans="1:16" ht="48" customHeight="1">
      <c r="A46" s="25" t="s">
        <v>67</v>
      </c>
      <c r="B46" s="25"/>
      <c r="C46" s="25"/>
      <c r="D46" s="25"/>
      <c r="E46" s="25"/>
      <c r="F46" s="25"/>
      <c r="G46" s="25"/>
      <c r="H46" s="26" t="s">
        <v>51</v>
      </c>
      <c r="I46" s="26"/>
      <c r="J46" s="26"/>
      <c r="K46" s="26"/>
      <c r="M46" s="26" t="s">
        <v>68</v>
      </c>
    </row>
    <row r="48" spans="1:16" ht="48" customHeight="1">
      <c r="A48" s="21" t="s">
        <v>89</v>
      </c>
      <c r="B48" s="21"/>
      <c r="C48" s="21"/>
      <c r="D48" s="21"/>
      <c r="E48" s="21"/>
      <c r="F48" s="21"/>
      <c r="G48" s="21"/>
      <c r="H48" s="20" t="s">
        <v>58</v>
      </c>
      <c r="I48" s="20"/>
      <c r="J48" s="20"/>
      <c r="K48" s="20"/>
      <c r="M48" s="22" t="s">
        <v>59</v>
      </c>
    </row>
    <row r="49" spans="1:16" ht="48" customHeight="1">
      <c r="A49" s="23" t="s">
        <v>90</v>
      </c>
      <c r="B49" s="23"/>
      <c r="C49" s="23"/>
      <c r="D49" s="23"/>
      <c r="E49" s="23"/>
      <c r="F49" s="23"/>
      <c r="G49" s="23"/>
      <c r="H49" s="24" t="s">
        <v>51</v>
      </c>
      <c r="I49" s="24"/>
      <c r="J49" s="24"/>
      <c r="K49" s="24"/>
      <c r="M49" s="22" t="s">
        <v>61</v>
      </c>
      <c r="N49" s="12">
        <f>vlookup(H49,data_summary_by_question!U2:V7,2, FALSE)</f>
        <v>0</v>
      </c>
      <c r="O49" s="12">
        <f>average(N49:N50)</f>
        <v>0</v>
      </c>
      <c r="P49" s="12">
        <f>H49</f>
        <v>0</v>
      </c>
    </row>
    <row r="50" spans="1:16" ht="48" customHeight="1">
      <c r="A50" s="23" t="s">
        <v>91</v>
      </c>
      <c r="B50" s="23"/>
      <c r="C50" s="23"/>
      <c r="D50" s="23"/>
      <c r="E50" s="23"/>
      <c r="F50" s="23"/>
      <c r="G50" s="23"/>
      <c r="H50" s="24" t="s">
        <v>51</v>
      </c>
      <c r="I50" s="24"/>
      <c r="J50" s="24"/>
      <c r="K50" s="24"/>
      <c r="M50" s="22" t="s">
        <v>61</v>
      </c>
      <c r="N50" s="12">
        <f>vlookup(H50,data_summary_by_question!U2:V7,2, FALSE)</f>
        <v>0</v>
      </c>
      <c r="P50" s="12">
        <f>H50</f>
        <v>0</v>
      </c>
    </row>
    <row r="51" spans="1:16" ht="48" customHeight="1">
      <c r="A51" s="25" t="s">
        <v>67</v>
      </c>
      <c r="B51" s="25"/>
      <c r="C51" s="25"/>
      <c r="D51" s="25"/>
      <c r="E51" s="25"/>
      <c r="F51" s="25"/>
      <c r="G51" s="25"/>
      <c r="H51" s="26" t="s">
        <v>51</v>
      </c>
      <c r="I51" s="26"/>
      <c r="J51" s="26"/>
      <c r="K51" s="26"/>
      <c r="M51" s="26" t="s">
        <v>68</v>
      </c>
    </row>
    <row r="53" spans="1:16" ht="48" customHeight="1">
      <c r="A53" s="21" t="s">
        <v>92</v>
      </c>
      <c r="B53" s="21"/>
      <c r="C53" s="21"/>
      <c r="D53" s="21"/>
      <c r="E53" s="21"/>
      <c r="F53" s="21"/>
      <c r="G53" s="21"/>
      <c r="H53" s="20" t="s">
        <v>58</v>
      </c>
      <c r="I53" s="20"/>
      <c r="J53" s="20"/>
      <c r="K53" s="20"/>
      <c r="M53" s="22" t="s">
        <v>59</v>
      </c>
    </row>
    <row r="54" spans="1:16" ht="48" customHeight="1">
      <c r="A54" s="23" t="s">
        <v>93</v>
      </c>
      <c r="B54" s="23"/>
      <c r="C54" s="23"/>
      <c r="D54" s="23"/>
      <c r="E54" s="23"/>
      <c r="F54" s="23"/>
      <c r="G54" s="23"/>
      <c r="H54" s="24" t="s">
        <v>51</v>
      </c>
      <c r="I54" s="24"/>
      <c r="J54" s="24"/>
      <c r="K54" s="24"/>
      <c r="M54" s="22" t="s">
        <v>61</v>
      </c>
      <c r="N54" s="12">
        <f>vlookup(H54,data_summary_by_question!U2:V7,2, FALSE)</f>
        <v>0</v>
      </c>
      <c r="O54" s="12">
        <f>average(N54:N57)</f>
        <v>0</v>
      </c>
      <c r="P54" s="12">
        <f>H54</f>
        <v>0</v>
      </c>
    </row>
    <row r="55" spans="1:16" ht="48" customHeight="1">
      <c r="A55" s="23" t="s">
        <v>94</v>
      </c>
      <c r="B55" s="23"/>
      <c r="C55" s="23"/>
      <c r="D55" s="23"/>
      <c r="E55" s="23"/>
      <c r="F55" s="23"/>
      <c r="G55" s="23"/>
      <c r="H55" s="24" t="s">
        <v>51</v>
      </c>
      <c r="I55" s="24"/>
      <c r="J55" s="24"/>
      <c r="K55" s="24"/>
      <c r="M55" s="22" t="s">
        <v>61</v>
      </c>
      <c r="N55" s="12">
        <f>vlookup(H55,data_summary_by_question!U2:V7,2, FALSE)</f>
        <v>0</v>
      </c>
      <c r="P55" s="12">
        <f>H55</f>
        <v>0</v>
      </c>
    </row>
    <row r="56" spans="1:16" ht="48" customHeight="1">
      <c r="A56" s="23" t="s">
        <v>95</v>
      </c>
      <c r="B56" s="23"/>
      <c r="C56" s="23"/>
      <c r="D56" s="23"/>
      <c r="E56" s="23"/>
      <c r="F56" s="23"/>
      <c r="G56" s="23"/>
      <c r="H56" s="24" t="s">
        <v>51</v>
      </c>
      <c r="I56" s="24"/>
      <c r="J56" s="24"/>
      <c r="K56" s="24"/>
      <c r="M56" s="22" t="s">
        <v>61</v>
      </c>
      <c r="N56" s="12">
        <f>vlookup(H56,data_summary_by_question!U2:V7,2, FALSE)</f>
        <v>0</v>
      </c>
      <c r="P56" s="12">
        <f>H56</f>
        <v>0</v>
      </c>
    </row>
    <row r="57" spans="1:16" ht="48" customHeight="1">
      <c r="A57" s="23" t="s">
        <v>96</v>
      </c>
      <c r="B57" s="23"/>
      <c r="C57" s="23"/>
      <c r="D57" s="23"/>
      <c r="E57" s="23"/>
      <c r="F57" s="23"/>
      <c r="G57" s="23"/>
      <c r="H57" s="24" t="s">
        <v>51</v>
      </c>
      <c r="I57" s="24"/>
      <c r="J57" s="24"/>
      <c r="K57" s="24"/>
      <c r="M57" s="22" t="s">
        <v>61</v>
      </c>
      <c r="N57" s="12">
        <f>vlookup(H57,data_summary_by_question!U2:V7,2, FALSE)</f>
        <v>0</v>
      </c>
      <c r="P57" s="12">
        <f>H57</f>
        <v>0</v>
      </c>
    </row>
    <row r="58" spans="1:16" ht="48" customHeight="1">
      <c r="A58" s="25" t="s">
        <v>67</v>
      </c>
      <c r="B58" s="25"/>
      <c r="C58" s="25"/>
      <c r="D58" s="25"/>
      <c r="E58" s="25"/>
      <c r="F58" s="25"/>
      <c r="G58" s="25"/>
      <c r="H58" s="26" t="s">
        <v>51</v>
      </c>
      <c r="I58" s="26"/>
      <c r="J58" s="26"/>
      <c r="K58" s="26"/>
      <c r="M58" s="26" t="s">
        <v>68</v>
      </c>
    </row>
    <row r="60" spans="1:16" ht="48" customHeight="1">
      <c r="A60" s="21" t="s">
        <v>97</v>
      </c>
      <c r="B60" s="21"/>
      <c r="C60" s="21"/>
      <c r="D60" s="21"/>
      <c r="E60" s="21"/>
      <c r="F60" s="21"/>
      <c r="G60" s="21"/>
      <c r="H60" s="20" t="s">
        <v>58</v>
      </c>
      <c r="I60" s="20"/>
      <c r="J60" s="20"/>
      <c r="K60" s="20"/>
      <c r="M60" s="22" t="s">
        <v>59</v>
      </c>
    </row>
    <row r="61" spans="1:16" ht="48" customHeight="1">
      <c r="A61" s="23" t="s">
        <v>98</v>
      </c>
      <c r="B61" s="23"/>
      <c r="C61" s="23"/>
      <c r="D61" s="23"/>
      <c r="E61" s="23"/>
      <c r="F61" s="23"/>
      <c r="G61" s="23"/>
      <c r="H61" s="24" t="s">
        <v>51</v>
      </c>
      <c r="I61" s="24"/>
      <c r="J61" s="24"/>
      <c r="K61" s="24"/>
      <c r="M61" s="22" t="s">
        <v>61</v>
      </c>
      <c r="N61" s="12">
        <f>vlookup(H61,data_summary_by_question!U2:V7,2, FALSE)</f>
        <v>0</v>
      </c>
      <c r="O61" s="12">
        <f>average(N61:N62)</f>
        <v>0</v>
      </c>
      <c r="P61" s="12">
        <f>H61</f>
        <v>0</v>
      </c>
    </row>
    <row r="62" spans="1:16" ht="48" customHeight="1">
      <c r="A62" s="23" t="s">
        <v>99</v>
      </c>
      <c r="B62" s="23"/>
      <c r="C62" s="23"/>
      <c r="D62" s="23"/>
      <c r="E62" s="23"/>
      <c r="F62" s="23"/>
      <c r="G62" s="23"/>
      <c r="H62" s="24" t="s">
        <v>51</v>
      </c>
      <c r="I62" s="24"/>
      <c r="J62" s="24"/>
      <c r="K62" s="24"/>
      <c r="M62" s="22" t="s">
        <v>61</v>
      </c>
      <c r="N62" s="12">
        <f>vlookup(H62,data_summary_by_question!U2:V7,2, FALSE)</f>
        <v>0</v>
      </c>
      <c r="P62" s="12">
        <f>H62</f>
        <v>0</v>
      </c>
    </row>
    <row r="63" spans="1:16" ht="48" customHeight="1">
      <c r="A63" s="25" t="s">
        <v>67</v>
      </c>
      <c r="B63" s="25"/>
      <c r="C63" s="25"/>
      <c r="D63" s="25"/>
      <c r="E63" s="25"/>
      <c r="F63" s="25"/>
      <c r="G63" s="25"/>
      <c r="H63" s="26" t="s">
        <v>51</v>
      </c>
      <c r="I63" s="26"/>
      <c r="J63" s="26"/>
      <c r="K63" s="26"/>
      <c r="M63" s="26" t="s">
        <v>68</v>
      </c>
    </row>
    <row r="65" spans="1:16" ht="48" customHeight="1">
      <c r="A65" s="21" t="s">
        <v>100</v>
      </c>
      <c r="B65" s="21"/>
      <c r="C65" s="21"/>
      <c r="D65" s="21"/>
      <c r="E65" s="21"/>
      <c r="F65" s="21"/>
      <c r="G65" s="21"/>
      <c r="H65" s="20" t="s">
        <v>58</v>
      </c>
      <c r="I65" s="20"/>
      <c r="J65" s="20"/>
      <c r="K65" s="20"/>
      <c r="M65" s="22" t="s">
        <v>59</v>
      </c>
    </row>
    <row r="66" spans="1:16" ht="48" customHeight="1">
      <c r="A66" s="23" t="s">
        <v>101</v>
      </c>
      <c r="B66" s="23"/>
      <c r="C66" s="23"/>
      <c r="D66" s="23"/>
      <c r="E66" s="23"/>
      <c r="F66" s="23"/>
      <c r="G66" s="23"/>
      <c r="H66" s="24" t="s">
        <v>51</v>
      </c>
      <c r="I66" s="24"/>
      <c r="J66" s="24"/>
      <c r="K66" s="24"/>
      <c r="M66" s="22" t="s">
        <v>61</v>
      </c>
      <c r="N66" s="12">
        <f>vlookup(H66,data_summary_by_question!U2:V7,2, FALSE)</f>
        <v>0</v>
      </c>
      <c r="O66" s="12">
        <f>average(N66:N67)</f>
        <v>0</v>
      </c>
      <c r="P66" s="12">
        <f>H66</f>
        <v>0</v>
      </c>
    </row>
    <row r="67" spans="1:16" ht="48" customHeight="1">
      <c r="A67" s="23" t="s">
        <v>102</v>
      </c>
      <c r="B67" s="23"/>
      <c r="C67" s="23"/>
      <c r="D67" s="23"/>
      <c r="E67" s="23"/>
      <c r="F67" s="23"/>
      <c r="G67" s="23"/>
      <c r="H67" s="24" t="s">
        <v>51</v>
      </c>
      <c r="I67" s="24"/>
      <c r="J67" s="24"/>
      <c r="K67" s="24"/>
      <c r="M67" s="22" t="s">
        <v>61</v>
      </c>
      <c r="N67" s="12">
        <f>vlookup(H67,data_summary_by_question!U2:V7,2, FALSE)</f>
        <v>0</v>
      </c>
      <c r="P67" s="12">
        <f>H67</f>
        <v>0</v>
      </c>
    </row>
    <row r="68" spans="1:16" ht="48" customHeight="1">
      <c r="A68" s="25" t="s">
        <v>67</v>
      </c>
      <c r="B68" s="25"/>
      <c r="C68" s="25"/>
      <c r="D68" s="25"/>
      <c r="E68" s="25"/>
      <c r="F68" s="25"/>
      <c r="G68" s="25"/>
      <c r="H68" s="26" t="s">
        <v>51</v>
      </c>
      <c r="I68" s="26"/>
      <c r="J68" s="26"/>
      <c r="K68" s="26"/>
      <c r="M68" s="26" t="s">
        <v>68</v>
      </c>
    </row>
    <row r="70" spans="1:16" ht="48" customHeight="1">
      <c r="A70" s="21" t="s">
        <v>103</v>
      </c>
      <c r="B70" s="21"/>
      <c r="C70" s="21"/>
      <c r="D70" s="21"/>
      <c r="E70" s="21"/>
      <c r="F70" s="21"/>
      <c r="G70" s="21"/>
      <c r="H70" s="20" t="s">
        <v>58</v>
      </c>
      <c r="I70" s="20"/>
      <c r="J70" s="20"/>
      <c r="K70" s="20"/>
      <c r="M70" s="22" t="s">
        <v>59</v>
      </c>
    </row>
    <row r="71" spans="1:16" ht="48" customHeight="1">
      <c r="A71" s="23" t="s">
        <v>104</v>
      </c>
      <c r="B71" s="23"/>
      <c r="C71" s="23"/>
      <c r="D71" s="23"/>
      <c r="E71" s="23"/>
      <c r="F71" s="23"/>
      <c r="G71" s="23"/>
      <c r="H71" s="24" t="s">
        <v>51</v>
      </c>
      <c r="I71" s="24"/>
      <c r="J71" s="24"/>
      <c r="K71" s="24"/>
      <c r="M71" s="22" t="s">
        <v>61</v>
      </c>
      <c r="N71" s="12">
        <f>vlookup(H71,data_summary_by_question!U2:V7,2, FALSE)</f>
        <v>0</v>
      </c>
      <c r="O71" s="12">
        <f>average(N71:N74)</f>
        <v>0</v>
      </c>
      <c r="P71" s="12">
        <f>H71</f>
        <v>0</v>
      </c>
    </row>
    <row r="72" spans="1:16" ht="48" customHeight="1">
      <c r="A72" s="23" t="s">
        <v>105</v>
      </c>
      <c r="B72" s="23"/>
      <c r="C72" s="23"/>
      <c r="D72" s="23"/>
      <c r="E72" s="23"/>
      <c r="F72" s="23"/>
      <c r="G72" s="23"/>
      <c r="H72" s="24" t="s">
        <v>51</v>
      </c>
      <c r="I72" s="24"/>
      <c r="J72" s="24"/>
      <c r="K72" s="24"/>
      <c r="M72" s="22" t="s">
        <v>61</v>
      </c>
      <c r="N72" s="12">
        <f>vlookup(H72,data_summary_by_question!U2:V7,2, FALSE)</f>
        <v>0</v>
      </c>
      <c r="P72" s="12">
        <f>H72</f>
        <v>0</v>
      </c>
    </row>
    <row r="73" spans="1:16" ht="48" customHeight="1">
      <c r="A73" s="23" t="s">
        <v>106</v>
      </c>
      <c r="B73" s="23"/>
      <c r="C73" s="23"/>
      <c r="D73" s="23"/>
      <c r="E73" s="23"/>
      <c r="F73" s="23"/>
      <c r="G73" s="23"/>
      <c r="H73" s="24" t="s">
        <v>51</v>
      </c>
      <c r="I73" s="24"/>
      <c r="J73" s="24"/>
      <c r="K73" s="24"/>
      <c r="M73" s="22" t="s">
        <v>61</v>
      </c>
      <c r="N73" s="12">
        <f>vlookup(H73,data_summary_by_question!U2:V7,2, FALSE)</f>
        <v>0</v>
      </c>
      <c r="P73" s="12">
        <f>H73</f>
        <v>0</v>
      </c>
    </row>
    <row r="74" spans="1:16" ht="48" customHeight="1">
      <c r="A74" s="23" t="s">
        <v>107</v>
      </c>
      <c r="B74" s="23"/>
      <c r="C74" s="23"/>
      <c r="D74" s="23"/>
      <c r="E74" s="23"/>
      <c r="F74" s="23"/>
      <c r="G74" s="23"/>
      <c r="H74" s="24" t="s">
        <v>51</v>
      </c>
      <c r="I74" s="24"/>
      <c r="J74" s="24"/>
      <c r="K74" s="24"/>
      <c r="M74" s="22" t="s">
        <v>61</v>
      </c>
      <c r="N74" s="12">
        <f>vlookup(H74,data_summary_by_question!U2:V7,2, FALSE)</f>
        <v>0</v>
      </c>
      <c r="P74" s="12">
        <f>H74</f>
        <v>0</v>
      </c>
    </row>
    <row r="75" spans="1:16" ht="48" customHeight="1">
      <c r="A75" s="25" t="s">
        <v>67</v>
      </c>
      <c r="B75" s="25"/>
      <c r="C75" s="25"/>
      <c r="D75" s="25"/>
      <c r="E75" s="25"/>
      <c r="F75" s="25"/>
      <c r="G75" s="25"/>
      <c r="H75" s="26" t="s">
        <v>51</v>
      </c>
      <c r="I75" s="26"/>
      <c r="J75" s="26"/>
      <c r="K75" s="26"/>
      <c r="M75" s="26" t="s">
        <v>68</v>
      </c>
    </row>
    <row r="77" spans="1:16" ht="48" customHeight="1">
      <c r="A77" s="21" t="s">
        <v>108</v>
      </c>
      <c r="B77" s="21"/>
      <c r="C77" s="21"/>
      <c r="D77" s="21"/>
      <c r="E77" s="21"/>
      <c r="F77" s="21"/>
      <c r="G77" s="21"/>
      <c r="H77" s="20" t="s">
        <v>58</v>
      </c>
      <c r="I77" s="20"/>
      <c r="J77" s="20"/>
      <c r="K77" s="20"/>
      <c r="M77" s="22" t="s">
        <v>59</v>
      </c>
    </row>
    <row r="78" spans="1:16" ht="48" customHeight="1">
      <c r="A78" s="23" t="s">
        <v>109</v>
      </c>
      <c r="B78" s="23"/>
      <c r="C78" s="23"/>
      <c r="D78" s="23"/>
      <c r="E78" s="23"/>
      <c r="F78" s="23"/>
      <c r="G78" s="23"/>
      <c r="H78" s="24" t="s">
        <v>51</v>
      </c>
      <c r="I78" s="24"/>
      <c r="J78" s="24"/>
      <c r="K78" s="24"/>
      <c r="M78" s="22" t="s">
        <v>61</v>
      </c>
      <c r="N78" s="12">
        <f>vlookup(H78,data_summary_by_question!U2:V7,2, FALSE)</f>
        <v>0</v>
      </c>
      <c r="O78" s="12">
        <f>average(N78:N79)</f>
        <v>0</v>
      </c>
      <c r="P78" s="12">
        <f>H78</f>
        <v>0</v>
      </c>
    </row>
    <row r="79" spans="1:16" ht="48" customHeight="1">
      <c r="A79" s="23" t="s">
        <v>110</v>
      </c>
      <c r="B79" s="23"/>
      <c r="C79" s="23"/>
      <c r="D79" s="23"/>
      <c r="E79" s="23"/>
      <c r="F79" s="23"/>
      <c r="G79" s="23"/>
      <c r="H79" s="24" t="s">
        <v>51</v>
      </c>
      <c r="I79" s="24"/>
      <c r="J79" s="24"/>
      <c r="K79" s="24"/>
      <c r="M79" s="22" t="s">
        <v>61</v>
      </c>
      <c r="N79" s="12">
        <f>vlookup(H79,data_summary_by_question!U2:V7,2, FALSE)</f>
        <v>0</v>
      </c>
      <c r="P79" s="12">
        <f>H79</f>
        <v>0</v>
      </c>
    </row>
    <row r="80" spans="1:16" ht="48" customHeight="1">
      <c r="A80" s="25" t="s">
        <v>67</v>
      </c>
      <c r="B80" s="25"/>
      <c r="C80" s="25"/>
      <c r="D80" s="25"/>
      <c r="E80" s="25"/>
      <c r="F80" s="25"/>
      <c r="G80" s="25"/>
      <c r="H80" s="26" t="s">
        <v>51</v>
      </c>
      <c r="I80" s="26"/>
      <c r="J80" s="26"/>
      <c r="K80" s="26"/>
      <c r="M80" s="26" t="s">
        <v>68</v>
      </c>
    </row>
    <row r="82" spans="1:16" ht="48" customHeight="1">
      <c r="A82" s="21" t="s">
        <v>111</v>
      </c>
      <c r="B82" s="21"/>
      <c r="C82" s="21"/>
      <c r="D82" s="21"/>
      <c r="E82" s="21"/>
      <c r="F82" s="21"/>
      <c r="G82" s="21"/>
      <c r="H82" s="20" t="s">
        <v>58</v>
      </c>
      <c r="I82" s="20"/>
      <c r="J82" s="20"/>
      <c r="K82" s="20"/>
      <c r="M82" s="22" t="s">
        <v>59</v>
      </c>
    </row>
    <row r="83" spans="1:16" ht="48" customHeight="1">
      <c r="A83" s="23" t="s">
        <v>112</v>
      </c>
      <c r="B83" s="23"/>
      <c r="C83" s="23"/>
      <c r="D83" s="23"/>
      <c r="E83" s="23"/>
      <c r="F83" s="23"/>
      <c r="G83" s="23"/>
      <c r="H83" s="24" t="s">
        <v>51</v>
      </c>
      <c r="I83" s="24"/>
      <c r="J83" s="24"/>
      <c r="K83" s="24"/>
      <c r="M83" s="22" t="s">
        <v>61</v>
      </c>
      <c r="N83" s="12">
        <f>vlookup(H83,data_summary_by_question!U2:V7,2, FALSE)</f>
        <v>0</v>
      </c>
      <c r="O83" s="12">
        <f>average(N83:N84)</f>
        <v>0</v>
      </c>
      <c r="P83" s="12">
        <f>H83</f>
        <v>0</v>
      </c>
    </row>
    <row r="84" spans="1:16" ht="48" customHeight="1">
      <c r="A84" s="23" t="s">
        <v>113</v>
      </c>
      <c r="B84" s="23"/>
      <c r="C84" s="23"/>
      <c r="D84" s="23"/>
      <c r="E84" s="23"/>
      <c r="F84" s="23"/>
      <c r="G84" s="23"/>
      <c r="H84" s="24" t="s">
        <v>51</v>
      </c>
      <c r="I84" s="24"/>
      <c r="J84" s="24"/>
      <c r="K84" s="24"/>
      <c r="M84" s="22" t="s">
        <v>61</v>
      </c>
      <c r="N84" s="12">
        <f>vlookup(H84,data_summary_by_question!U2:V7,2, FALSE)</f>
        <v>0</v>
      </c>
      <c r="P84" s="12">
        <f>H84</f>
        <v>0</v>
      </c>
    </row>
    <row r="85" spans="1:16" ht="48" customHeight="1">
      <c r="A85" s="25" t="s">
        <v>67</v>
      </c>
      <c r="B85" s="25"/>
      <c r="C85" s="25"/>
      <c r="D85" s="25"/>
      <c r="E85" s="25"/>
      <c r="F85" s="25"/>
      <c r="G85" s="25"/>
      <c r="H85" s="26" t="s">
        <v>51</v>
      </c>
      <c r="I85" s="26"/>
      <c r="J85" s="26"/>
      <c r="K85" s="26"/>
      <c r="M85" s="26" t="s">
        <v>68</v>
      </c>
    </row>
    <row r="87" spans="1:16" ht="48" customHeight="1">
      <c r="A87" s="21" t="s">
        <v>114</v>
      </c>
      <c r="B87" s="21"/>
      <c r="C87" s="21"/>
      <c r="D87" s="21"/>
      <c r="E87" s="21"/>
      <c r="F87" s="21"/>
      <c r="G87" s="21"/>
      <c r="H87" s="20" t="s">
        <v>58</v>
      </c>
      <c r="I87" s="20"/>
      <c r="J87" s="20"/>
      <c r="K87" s="20"/>
      <c r="M87" s="22" t="s">
        <v>59</v>
      </c>
    </row>
    <row r="88" spans="1:16" ht="48" customHeight="1">
      <c r="A88" s="23" t="s">
        <v>115</v>
      </c>
      <c r="B88" s="23"/>
      <c r="C88" s="23"/>
      <c r="D88" s="23"/>
      <c r="E88" s="23"/>
      <c r="F88" s="23"/>
      <c r="G88" s="23"/>
      <c r="H88" s="24" t="s">
        <v>51</v>
      </c>
      <c r="I88" s="24"/>
      <c r="J88" s="24"/>
      <c r="K88" s="24"/>
      <c r="M88" s="22" t="s">
        <v>61</v>
      </c>
      <c r="N88" s="12">
        <f>vlookup(H88,data_summary_by_question!U2:V7,2, FALSE)</f>
        <v>0</v>
      </c>
      <c r="O88" s="12">
        <f>average(N88:N90)</f>
        <v>0</v>
      </c>
      <c r="P88" s="12">
        <f>H88</f>
        <v>0</v>
      </c>
    </row>
    <row r="89" spans="1:16" ht="48" customHeight="1">
      <c r="A89" s="23" t="s">
        <v>116</v>
      </c>
      <c r="B89" s="23"/>
      <c r="C89" s="23"/>
      <c r="D89" s="23"/>
      <c r="E89" s="23"/>
      <c r="F89" s="23"/>
      <c r="G89" s="23"/>
      <c r="H89" s="24" t="s">
        <v>51</v>
      </c>
      <c r="I89" s="24"/>
      <c r="J89" s="24"/>
      <c r="K89" s="24"/>
      <c r="M89" s="22" t="s">
        <v>61</v>
      </c>
      <c r="N89" s="12">
        <f>vlookup(H89,data_summary_by_question!U2:V7,2, FALSE)</f>
        <v>0</v>
      </c>
      <c r="P89" s="12">
        <f>H89</f>
        <v>0</v>
      </c>
    </row>
    <row r="90" spans="1:16" ht="48" customHeight="1">
      <c r="A90" s="23" t="s">
        <v>117</v>
      </c>
      <c r="B90" s="23"/>
      <c r="C90" s="23"/>
      <c r="D90" s="23"/>
      <c r="E90" s="23"/>
      <c r="F90" s="23"/>
      <c r="G90" s="23"/>
      <c r="H90" s="24" t="s">
        <v>51</v>
      </c>
      <c r="I90" s="24"/>
      <c r="J90" s="24"/>
      <c r="K90" s="24"/>
      <c r="M90" s="22" t="s">
        <v>61</v>
      </c>
      <c r="N90" s="12">
        <f>vlookup(H90,data_summary_by_question!U2:V7,2, FALSE)</f>
        <v>0</v>
      </c>
      <c r="P90" s="12">
        <f>H90</f>
        <v>0</v>
      </c>
    </row>
    <row r="91" spans="1:16" ht="48" customHeight="1">
      <c r="A91" s="25" t="s">
        <v>67</v>
      </c>
      <c r="B91" s="25"/>
      <c r="C91" s="25"/>
      <c r="D91" s="25"/>
      <c r="E91" s="25"/>
      <c r="F91" s="25"/>
      <c r="G91" s="25"/>
      <c r="H91" s="26" t="s">
        <v>51</v>
      </c>
      <c r="I91" s="26"/>
      <c r="J91" s="26"/>
      <c r="K91" s="26"/>
      <c r="M91" s="26" t="s">
        <v>68</v>
      </c>
    </row>
    <row r="93" spans="1:16" ht="48" customHeight="1">
      <c r="A93" s="21" t="s">
        <v>118</v>
      </c>
      <c r="B93" s="21"/>
      <c r="C93" s="21"/>
      <c r="D93" s="21"/>
      <c r="E93" s="21"/>
      <c r="F93" s="21"/>
      <c r="G93" s="21"/>
      <c r="H93" s="20" t="s">
        <v>58</v>
      </c>
      <c r="I93" s="20"/>
      <c r="J93" s="20"/>
      <c r="K93" s="20"/>
      <c r="M93" s="22" t="s">
        <v>59</v>
      </c>
    </row>
    <row r="94" spans="1:16" ht="48" customHeight="1">
      <c r="A94" s="23" t="s">
        <v>119</v>
      </c>
      <c r="B94" s="23"/>
      <c r="C94" s="23"/>
      <c r="D94" s="23"/>
      <c r="E94" s="23"/>
      <c r="F94" s="23"/>
      <c r="G94" s="23"/>
      <c r="H94" s="24" t="s">
        <v>51</v>
      </c>
      <c r="I94" s="24"/>
      <c r="J94" s="24"/>
      <c r="K94" s="24"/>
      <c r="M94" s="22" t="s">
        <v>61</v>
      </c>
      <c r="N94" s="12">
        <f>vlookup(H94,data_summary_by_question!U2:V7,2, FALSE)</f>
        <v>0</v>
      </c>
      <c r="O94" s="12">
        <f>average(N94:N95)</f>
        <v>0</v>
      </c>
      <c r="P94" s="12">
        <f>H94</f>
        <v>0</v>
      </c>
    </row>
    <row r="95" spans="1:16" ht="48" customHeight="1">
      <c r="A95" s="23" t="s">
        <v>120</v>
      </c>
      <c r="B95" s="23"/>
      <c r="C95" s="23"/>
      <c r="D95" s="23"/>
      <c r="E95" s="23"/>
      <c r="F95" s="23"/>
      <c r="G95" s="23"/>
      <c r="H95" s="24" t="s">
        <v>51</v>
      </c>
      <c r="I95" s="24"/>
      <c r="J95" s="24"/>
      <c r="K95" s="24"/>
      <c r="M95" s="22" t="s">
        <v>61</v>
      </c>
      <c r="N95" s="12">
        <f>vlookup(H95,data_summary_by_question!U2:V7,2, FALSE)</f>
        <v>0</v>
      </c>
      <c r="P95" s="12">
        <f>H95</f>
        <v>0</v>
      </c>
    </row>
    <row r="96" spans="1:16" ht="48" customHeight="1">
      <c r="A96" s="25" t="s">
        <v>67</v>
      </c>
      <c r="B96" s="25"/>
      <c r="C96" s="25"/>
      <c r="D96" s="25"/>
      <c r="E96" s="25"/>
      <c r="F96" s="25"/>
      <c r="G96" s="25"/>
      <c r="H96" s="26" t="s">
        <v>51</v>
      </c>
      <c r="I96" s="26"/>
      <c r="J96" s="26"/>
      <c r="K96" s="26"/>
      <c r="M96" s="26" t="s">
        <v>68</v>
      </c>
    </row>
    <row r="98" spans="1:16" ht="48" customHeight="1">
      <c r="A98" s="21" t="s">
        <v>121</v>
      </c>
      <c r="B98" s="21"/>
      <c r="C98" s="21"/>
      <c r="D98" s="21"/>
      <c r="E98" s="21"/>
      <c r="F98" s="21"/>
      <c r="G98" s="21"/>
      <c r="H98" s="20" t="s">
        <v>58</v>
      </c>
      <c r="I98" s="20"/>
      <c r="J98" s="20"/>
      <c r="K98" s="20"/>
      <c r="M98" s="22" t="s">
        <v>59</v>
      </c>
    </row>
    <row r="99" spans="1:16" ht="48" customHeight="1">
      <c r="A99" s="23" t="s">
        <v>122</v>
      </c>
      <c r="B99" s="23"/>
      <c r="C99" s="23"/>
      <c r="D99" s="23"/>
      <c r="E99" s="23"/>
      <c r="F99" s="23"/>
      <c r="G99" s="23"/>
      <c r="H99" s="24" t="s">
        <v>51</v>
      </c>
      <c r="I99" s="24"/>
      <c r="J99" s="24"/>
      <c r="K99" s="24"/>
      <c r="M99" s="22" t="s">
        <v>61</v>
      </c>
      <c r="N99" s="12">
        <f>vlookup(H99,data_summary_by_question!U2:V7,2, FALSE)</f>
        <v>0</v>
      </c>
      <c r="O99" s="12">
        <f>average(N99:N101)</f>
        <v>0</v>
      </c>
      <c r="P99" s="12">
        <f>H99</f>
        <v>0</v>
      </c>
    </row>
    <row r="100" spans="1:16" ht="48" customHeight="1">
      <c r="A100" s="23" t="s">
        <v>123</v>
      </c>
      <c r="B100" s="23"/>
      <c r="C100" s="23"/>
      <c r="D100" s="23"/>
      <c r="E100" s="23"/>
      <c r="F100" s="23"/>
      <c r="G100" s="23"/>
      <c r="H100" s="24" t="s">
        <v>51</v>
      </c>
      <c r="I100" s="24"/>
      <c r="J100" s="24"/>
      <c r="K100" s="24"/>
      <c r="M100" s="22" t="s">
        <v>61</v>
      </c>
      <c r="N100" s="12">
        <f>vlookup(H100,data_summary_by_question!U2:V7,2, FALSE)</f>
        <v>0</v>
      </c>
      <c r="P100" s="12">
        <f>H100</f>
        <v>0</v>
      </c>
    </row>
    <row r="101" spans="1:16" ht="48" customHeight="1">
      <c r="A101" s="23" t="s">
        <v>124</v>
      </c>
      <c r="B101" s="23"/>
      <c r="C101" s="23"/>
      <c r="D101" s="23"/>
      <c r="E101" s="23"/>
      <c r="F101" s="23"/>
      <c r="G101" s="23"/>
      <c r="H101" s="24" t="s">
        <v>51</v>
      </c>
      <c r="I101" s="24"/>
      <c r="J101" s="24"/>
      <c r="K101" s="24"/>
      <c r="M101" s="22" t="s">
        <v>61</v>
      </c>
      <c r="N101" s="12">
        <f>vlookup(H101,data_summary_by_question!U2:V7,2, FALSE)</f>
        <v>0</v>
      </c>
      <c r="P101" s="12">
        <f>H101</f>
        <v>0</v>
      </c>
    </row>
    <row r="102" spans="1:16" ht="48" customHeight="1">
      <c r="A102" s="25" t="s">
        <v>67</v>
      </c>
      <c r="B102" s="25"/>
      <c r="C102" s="25"/>
      <c r="D102" s="25"/>
      <c r="E102" s="25"/>
      <c r="F102" s="25"/>
      <c r="G102" s="25"/>
      <c r="H102" s="26" t="s">
        <v>51</v>
      </c>
      <c r="I102" s="26"/>
      <c r="J102" s="26"/>
      <c r="K102" s="26"/>
      <c r="M102" s="26" t="s">
        <v>68</v>
      </c>
    </row>
    <row r="104" spans="1:16" ht="48" customHeight="1">
      <c r="A104" s="21" t="s">
        <v>125</v>
      </c>
      <c r="B104" s="21"/>
      <c r="C104" s="21"/>
      <c r="D104" s="21"/>
      <c r="E104" s="21"/>
      <c r="F104" s="21"/>
      <c r="G104" s="21"/>
      <c r="H104" s="20" t="s">
        <v>58</v>
      </c>
      <c r="I104" s="20"/>
      <c r="J104" s="20"/>
      <c r="K104" s="20"/>
      <c r="M104" s="22" t="s">
        <v>59</v>
      </c>
    </row>
    <row r="105" spans="1:16" ht="48" customHeight="1">
      <c r="A105" s="23" t="s">
        <v>126</v>
      </c>
      <c r="B105" s="23"/>
      <c r="C105" s="23"/>
      <c r="D105" s="23"/>
      <c r="E105" s="23"/>
      <c r="F105" s="23"/>
      <c r="G105" s="23"/>
      <c r="H105" s="24" t="s">
        <v>51</v>
      </c>
      <c r="I105" s="24"/>
      <c r="J105" s="24"/>
      <c r="K105" s="24"/>
      <c r="M105" s="22" t="s">
        <v>61</v>
      </c>
      <c r="N105" s="12">
        <f>vlookup(H105,data_summary_by_question!U2:V7,2, FALSE)</f>
        <v>0</v>
      </c>
      <c r="O105" s="12">
        <f>average(N105:N109)</f>
        <v>0</v>
      </c>
      <c r="P105" s="12">
        <f>H105</f>
        <v>0</v>
      </c>
    </row>
    <row r="106" spans="1:16" ht="48" customHeight="1">
      <c r="A106" s="23" t="s">
        <v>127</v>
      </c>
      <c r="B106" s="23"/>
      <c r="C106" s="23"/>
      <c r="D106" s="23"/>
      <c r="E106" s="23"/>
      <c r="F106" s="23"/>
      <c r="G106" s="23"/>
      <c r="H106" s="24" t="s">
        <v>51</v>
      </c>
      <c r="I106" s="24"/>
      <c r="J106" s="24"/>
      <c r="K106" s="24"/>
      <c r="M106" s="22" t="s">
        <v>61</v>
      </c>
      <c r="N106" s="12">
        <f>vlookup(H106,data_summary_by_question!U2:V7,2, FALSE)</f>
        <v>0</v>
      </c>
      <c r="P106" s="12">
        <f>H106</f>
        <v>0</v>
      </c>
    </row>
    <row r="107" spans="1:16" ht="48" customHeight="1">
      <c r="A107" s="23" t="s">
        <v>128</v>
      </c>
      <c r="B107" s="23"/>
      <c r="C107" s="23"/>
      <c r="D107" s="23"/>
      <c r="E107" s="23"/>
      <c r="F107" s="23"/>
      <c r="G107" s="23"/>
      <c r="H107" s="24" t="s">
        <v>51</v>
      </c>
      <c r="I107" s="24"/>
      <c r="J107" s="24"/>
      <c r="K107" s="24"/>
      <c r="M107" s="22" t="s">
        <v>61</v>
      </c>
      <c r="N107" s="12">
        <f>vlookup(H107,data_summary_by_question!U2:V7,2, FALSE)</f>
        <v>0</v>
      </c>
      <c r="P107" s="12">
        <f>H107</f>
        <v>0</v>
      </c>
    </row>
    <row r="108" spans="1:16" ht="48" customHeight="1">
      <c r="A108" s="23" t="s">
        <v>129</v>
      </c>
      <c r="B108" s="23"/>
      <c r="C108" s="23"/>
      <c r="D108" s="23"/>
      <c r="E108" s="23"/>
      <c r="F108" s="23"/>
      <c r="G108" s="23"/>
      <c r="H108" s="24" t="s">
        <v>51</v>
      </c>
      <c r="I108" s="24"/>
      <c r="J108" s="24"/>
      <c r="K108" s="24"/>
      <c r="M108" s="22" t="s">
        <v>61</v>
      </c>
      <c r="N108" s="12">
        <f>vlookup(H108,data_summary_by_question!U2:V7,2, FALSE)</f>
        <v>0</v>
      </c>
      <c r="P108" s="12">
        <f>H108</f>
        <v>0</v>
      </c>
    </row>
    <row r="109" spans="1:16" ht="48" customHeight="1">
      <c r="A109" s="23" t="s">
        <v>130</v>
      </c>
      <c r="B109" s="23"/>
      <c r="C109" s="23"/>
      <c r="D109" s="23"/>
      <c r="E109" s="23"/>
      <c r="F109" s="23"/>
      <c r="G109" s="23"/>
      <c r="H109" s="24" t="s">
        <v>51</v>
      </c>
      <c r="I109" s="24"/>
      <c r="J109" s="24"/>
      <c r="K109" s="24"/>
      <c r="M109" s="22" t="s">
        <v>61</v>
      </c>
      <c r="N109" s="12">
        <f>vlookup(H109,data_summary_by_question!U2:V7,2, FALSE)</f>
        <v>0</v>
      </c>
      <c r="P109" s="12">
        <f>H109</f>
        <v>0</v>
      </c>
    </row>
    <row r="110" spans="1:16" ht="48" customHeight="1">
      <c r="A110" s="25" t="s">
        <v>67</v>
      </c>
      <c r="B110" s="25"/>
      <c r="C110" s="25"/>
      <c r="D110" s="25"/>
      <c r="E110" s="25"/>
      <c r="F110" s="25"/>
      <c r="G110" s="25"/>
      <c r="H110" s="26" t="s">
        <v>51</v>
      </c>
      <c r="I110" s="26"/>
      <c r="J110" s="26"/>
      <c r="K110" s="26"/>
      <c r="M110" s="26" t="s">
        <v>68</v>
      </c>
    </row>
    <row r="112" spans="1:16" ht="48" customHeight="1">
      <c r="A112" s="21" t="s">
        <v>131</v>
      </c>
      <c r="B112" s="21"/>
      <c r="C112" s="21"/>
      <c r="D112" s="21"/>
      <c r="E112" s="21"/>
      <c r="F112" s="21"/>
      <c r="G112" s="21"/>
      <c r="H112" s="20" t="s">
        <v>58</v>
      </c>
      <c r="I112" s="20"/>
      <c r="J112" s="20"/>
      <c r="K112" s="20"/>
      <c r="M112" s="22" t="s">
        <v>59</v>
      </c>
    </row>
    <row r="113" spans="1:16" ht="48" customHeight="1">
      <c r="A113" s="23" t="s">
        <v>132</v>
      </c>
      <c r="B113" s="23"/>
      <c r="C113" s="23"/>
      <c r="D113" s="23"/>
      <c r="E113" s="23"/>
      <c r="F113" s="23"/>
      <c r="G113" s="23"/>
      <c r="H113" s="24" t="s">
        <v>51</v>
      </c>
      <c r="I113" s="24"/>
      <c r="J113" s="24"/>
      <c r="K113" s="24"/>
      <c r="M113" s="22" t="s">
        <v>61</v>
      </c>
      <c r="N113" s="12">
        <f>vlookup(H113,data_summary_by_question!U2:V7,2, FALSE)</f>
        <v>0</v>
      </c>
      <c r="O113" s="12">
        <f>average(N113:N115)</f>
        <v>0</v>
      </c>
      <c r="P113" s="12">
        <f>H113</f>
        <v>0</v>
      </c>
    </row>
    <row r="114" spans="1:16" ht="48" customHeight="1">
      <c r="A114" s="23" t="s">
        <v>133</v>
      </c>
      <c r="B114" s="23"/>
      <c r="C114" s="23"/>
      <c r="D114" s="23"/>
      <c r="E114" s="23"/>
      <c r="F114" s="23"/>
      <c r="G114" s="23"/>
      <c r="H114" s="24" t="s">
        <v>51</v>
      </c>
      <c r="I114" s="24"/>
      <c r="J114" s="24"/>
      <c r="K114" s="24"/>
      <c r="M114" s="22" t="s">
        <v>61</v>
      </c>
      <c r="N114" s="12">
        <f>vlookup(H114,data_summary_by_question!U2:V7,2, FALSE)</f>
        <v>0</v>
      </c>
      <c r="P114" s="12">
        <f>H114</f>
        <v>0</v>
      </c>
    </row>
    <row r="115" spans="1:16" ht="48" customHeight="1">
      <c r="A115" s="23" t="s">
        <v>134</v>
      </c>
      <c r="B115" s="23"/>
      <c r="C115" s="23"/>
      <c r="D115" s="23"/>
      <c r="E115" s="23"/>
      <c r="F115" s="23"/>
      <c r="G115" s="23"/>
      <c r="H115" s="24" t="s">
        <v>51</v>
      </c>
      <c r="I115" s="24"/>
      <c r="J115" s="24"/>
      <c r="K115" s="24"/>
      <c r="M115" s="22" t="s">
        <v>61</v>
      </c>
      <c r="N115" s="12">
        <f>vlookup(H115,data_summary_by_question!U2:V7,2, FALSE)</f>
        <v>0</v>
      </c>
      <c r="P115" s="12">
        <f>H115</f>
        <v>0</v>
      </c>
    </row>
    <row r="116" spans="1:16" ht="48" customHeight="1">
      <c r="A116" s="25" t="s">
        <v>67</v>
      </c>
      <c r="B116" s="25"/>
      <c r="C116" s="25"/>
      <c r="D116" s="25"/>
      <c r="E116" s="25"/>
      <c r="F116" s="25"/>
      <c r="G116" s="25"/>
      <c r="H116" s="26" t="s">
        <v>51</v>
      </c>
      <c r="I116" s="26"/>
      <c r="J116" s="26"/>
      <c r="K116" s="26"/>
      <c r="M116" s="26" t="s">
        <v>68</v>
      </c>
    </row>
    <row r="118" spans="1:16" ht="48" customHeight="1">
      <c r="A118" s="21" t="s">
        <v>135</v>
      </c>
      <c r="B118" s="21"/>
      <c r="C118" s="21"/>
      <c r="D118" s="21"/>
      <c r="E118" s="21"/>
      <c r="F118" s="21"/>
      <c r="G118" s="21"/>
      <c r="H118" s="20" t="s">
        <v>58</v>
      </c>
      <c r="I118" s="20"/>
      <c r="J118" s="20"/>
      <c r="K118" s="20"/>
      <c r="M118" s="22" t="s">
        <v>59</v>
      </c>
    </row>
    <row r="119" spans="1:16" ht="48" customHeight="1">
      <c r="A119" s="23" t="s">
        <v>136</v>
      </c>
      <c r="B119" s="23"/>
      <c r="C119" s="23"/>
      <c r="D119" s="23"/>
      <c r="E119" s="23"/>
      <c r="F119" s="23"/>
      <c r="G119" s="23"/>
      <c r="H119" s="24" t="s">
        <v>51</v>
      </c>
      <c r="I119" s="24"/>
      <c r="J119" s="24"/>
      <c r="K119" s="24"/>
      <c r="M119" s="22" t="s">
        <v>61</v>
      </c>
      <c r="N119" s="12">
        <f>vlookup(H119,data_summary_by_question!U2:V7,2, FALSE)</f>
        <v>0</v>
      </c>
      <c r="O119" s="12">
        <f>average(N119:N122)</f>
        <v>0</v>
      </c>
      <c r="P119" s="12">
        <f>H119</f>
        <v>0</v>
      </c>
    </row>
    <row r="120" spans="1:16" ht="48" customHeight="1">
      <c r="A120" s="23" t="s">
        <v>137</v>
      </c>
      <c r="B120" s="23"/>
      <c r="C120" s="23"/>
      <c r="D120" s="23"/>
      <c r="E120" s="23"/>
      <c r="F120" s="23"/>
      <c r="G120" s="23"/>
      <c r="H120" s="24" t="s">
        <v>51</v>
      </c>
      <c r="I120" s="24"/>
      <c r="J120" s="24"/>
      <c r="K120" s="24"/>
      <c r="M120" s="22" t="s">
        <v>61</v>
      </c>
      <c r="N120" s="12">
        <f>vlookup(H120,data_summary_by_question!U2:V7,2, FALSE)</f>
        <v>0</v>
      </c>
      <c r="P120" s="12">
        <f>H120</f>
        <v>0</v>
      </c>
    </row>
    <row r="121" spans="1:16" ht="48" customHeight="1">
      <c r="A121" s="23" t="s">
        <v>138</v>
      </c>
      <c r="B121" s="23"/>
      <c r="C121" s="23"/>
      <c r="D121" s="23"/>
      <c r="E121" s="23"/>
      <c r="F121" s="23"/>
      <c r="G121" s="23"/>
      <c r="H121" s="24" t="s">
        <v>51</v>
      </c>
      <c r="I121" s="24"/>
      <c r="J121" s="24"/>
      <c r="K121" s="24"/>
      <c r="M121" s="22" t="s">
        <v>61</v>
      </c>
      <c r="N121" s="12">
        <f>vlookup(H121,data_summary_by_question!U2:V7,2, FALSE)</f>
        <v>0</v>
      </c>
      <c r="P121" s="12">
        <f>H121</f>
        <v>0</v>
      </c>
    </row>
    <row r="122" spans="1:16" ht="48" customHeight="1">
      <c r="A122" s="23" t="s">
        <v>139</v>
      </c>
      <c r="B122" s="23"/>
      <c r="C122" s="23"/>
      <c r="D122" s="23"/>
      <c r="E122" s="23"/>
      <c r="F122" s="23"/>
      <c r="G122" s="23"/>
      <c r="H122" s="24" t="s">
        <v>51</v>
      </c>
      <c r="I122" s="24"/>
      <c r="J122" s="24"/>
      <c r="K122" s="24"/>
      <c r="M122" s="22" t="s">
        <v>61</v>
      </c>
      <c r="N122" s="12">
        <f>vlookup(H122,data_summary_by_question!U2:V7,2, FALSE)</f>
        <v>0</v>
      </c>
      <c r="P122" s="12">
        <f>H122</f>
        <v>0</v>
      </c>
    </row>
    <row r="123" spans="1:16" ht="48" customHeight="1">
      <c r="A123" s="25" t="s">
        <v>67</v>
      </c>
      <c r="B123" s="25"/>
      <c r="C123" s="25"/>
      <c r="D123" s="25"/>
      <c r="E123" s="25"/>
      <c r="F123" s="25"/>
      <c r="G123" s="25"/>
      <c r="H123" s="26" t="s">
        <v>51</v>
      </c>
      <c r="I123" s="26"/>
      <c r="J123" s="26"/>
      <c r="K123" s="26"/>
      <c r="M123" s="26" t="s">
        <v>68</v>
      </c>
    </row>
    <row r="125" spans="1:16" ht="48" customHeight="1">
      <c r="A125" s="21" t="s">
        <v>140</v>
      </c>
      <c r="B125" s="21"/>
      <c r="C125" s="21"/>
      <c r="D125" s="21"/>
      <c r="E125" s="21"/>
      <c r="F125" s="21"/>
      <c r="G125" s="21"/>
      <c r="H125" s="20" t="s">
        <v>58</v>
      </c>
      <c r="I125" s="20"/>
      <c r="J125" s="20"/>
      <c r="K125" s="20"/>
      <c r="M125" s="22" t="s">
        <v>59</v>
      </c>
    </row>
    <row r="126" spans="1:16" ht="48" customHeight="1">
      <c r="A126" s="23" t="s">
        <v>141</v>
      </c>
      <c r="B126" s="23"/>
      <c r="C126" s="23"/>
      <c r="D126" s="23"/>
      <c r="E126" s="23"/>
      <c r="F126" s="23"/>
      <c r="G126" s="23"/>
      <c r="H126" s="24" t="s">
        <v>51</v>
      </c>
      <c r="I126" s="24"/>
      <c r="J126" s="24"/>
      <c r="K126" s="24"/>
      <c r="M126" s="22" t="s">
        <v>61</v>
      </c>
      <c r="N126" s="12">
        <f>vlookup(H126,data_summary_by_question!U2:V7,2, FALSE)</f>
        <v>0</v>
      </c>
      <c r="O126" s="12">
        <f>average(N126:N127)</f>
        <v>0</v>
      </c>
      <c r="P126" s="12">
        <f>H126</f>
        <v>0</v>
      </c>
    </row>
    <row r="127" spans="1:16" ht="48" customHeight="1">
      <c r="A127" s="23" t="s">
        <v>142</v>
      </c>
      <c r="B127" s="23"/>
      <c r="C127" s="23"/>
      <c r="D127" s="23"/>
      <c r="E127" s="23"/>
      <c r="F127" s="23"/>
      <c r="G127" s="23"/>
      <c r="H127" s="24" t="s">
        <v>51</v>
      </c>
      <c r="I127" s="24"/>
      <c r="J127" s="24"/>
      <c r="K127" s="24"/>
      <c r="M127" s="22" t="s">
        <v>61</v>
      </c>
      <c r="N127" s="12">
        <f>vlookup(H127,data_summary_by_question!U2:V7,2, FALSE)</f>
        <v>0</v>
      </c>
      <c r="P127" s="12">
        <f>H127</f>
        <v>0</v>
      </c>
    </row>
    <row r="128" spans="1:16" ht="48" customHeight="1">
      <c r="A128" s="25" t="s">
        <v>67</v>
      </c>
      <c r="B128" s="25"/>
      <c r="C128" s="25"/>
      <c r="D128" s="25"/>
      <c r="E128" s="25"/>
      <c r="F128" s="25"/>
      <c r="G128" s="25"/>
      <c r="H128" s="26" t="s">
        <v>51</v>
      </c>
      <c r="I128" s="26"/>
      <c r="J128" s="26"/>
      <c r="K128" s="26"/>
      <c r="M128" s="26" t="s">
        <v>68</v>
      </c>
    </row>
    <row r="130" spans="1:16" ht="48" customHeight="1">
      <c r="A130" s="21" t="s">
        <v>143</v>
      </c>
      <c r="B130" s="21"/>
      <c r="C130" s="21"/>
      <c r="D130" s="21"/>
      <c r="E130" s="21"/>
      <c r="F130" s="21"/>
      <c r="G130" s="21"/>
      <c r="H130" s="20" t="s">
        <v>58</v>
      </c>
      <c r="I130" s="20"/>
      <c r="J130" s="20"/>
      <c r="K130" s="20"/>
      <c r="M130" s="22" t="s">
        <v>59</v>
      </c>
    </row>
    <row r="131" spans="1:16" ht="48" customHeight="1">
      <c r="A131" s="23" t="s">
        <v>144</v>
      </c>
      <c r="B131" s="23"/>
      <c r="C131" s="23"/>
      <c r="D131" s="23"/>
      <c r="E131" s="23"/>
      <c r="F131" s="23"/>
      <c r="G131" s="23"/>
      <c r="H131" s="24" t="s">
        <v>51</v>
      </c>
      <c r="I131" s="24"/>
      <c r="J131" s="24"/>
      <c r="K131" s="24"/>
      <c r="M131" s="22" t="s">
        <v>61</v>
      </c>
      <c r="N131" s="12">
        <f>vlookup(H131,data_summary_by_question!U2:V7,2, FALSE)</f>
        <v>0</v>
      </c>
      <c r="O131" s="12">
        <f>average(N131:N134)</f>
        <v>0</v>
      </c>
      <c r="P131" s="12">
        <f>H131</f>
        <v>0</v>
      </c>
    </row>
    <row r="132" spans="1:16" ht="48" customHeight="1">
      <c r="A132" s="23" t="s">
        <v>145</v>
      </c>
      <c r="B132" s="23"/>
      <c r="C132" s="23"/>
      <c r="D132" s="23"/>
      <c r="E132" s="23"/>
      <c r="F132" s="23"/>
      <c r="G132" s="23"/>
      <c r="H132" s="24" t="s">
        <v>51</v>
      </c>
      <c r="I132" s="24"/>
      <c r="J132" s="24"/>
      <c r="K132" s="24"/>
      <c r="M132" s="22" t="s">
        <v>61</v>
      </c>
      <c r="N132" s="12">
        <f>vlookup(H132,data_summary_by_question!U2:V7,2, FALSE)</f>
        <v>0</v>
      </c>
      <c r="P132" s="12">
        <f>H132</f>
        <v>0</v>
      </c>
    </row>
    <row r="133" spans="1:16" ht="48" customHeight="1">
      <c r="A133" s="23" t="s">
        <v>146</v>
      </c>
      <c r="B133" s="23"/>
      <c r="C133" s="23"/>
      <c r="D133" s="23"/>
      <c r="E133" s="23"/>
      <c r="F133" s="23"/>
      <c r="G133" s="23"/>
      <c r="H133" s="24" t="s">
        <v>51</v>
      </c>
      <c r="I133" s="24"/>
      <c r="J133" s="24"/>
      <c r="K133" s="24"/>
      <c r="M133" s="22" t="s">
        <v>61</v>
      </c>
      <c r="N133" s="12">
        <f>vlookup(H133,data_summary_by_question!U2:V7,2, FALSE)</f>
        <v>0</v>
      </c>
      <c r="P133" s="12">
        <f>H133</f>
        <v>0</v>
      </c>
    </row>
    <row r="134" spans="1:16" ht="48" customHeight="1">
      <c r="A134" s="23" t="s">
        <v>147</v>
      </c>
      <c r="B134" s="23"/>
      <c r="C134" s="23"/>
      <c r="D134" s="23"/>
      <c r="E134" s="23"/>
      <c r="F134" s="23"/>
      <c r="G134" s="23"/>
      <c r="H134" s="24" t="s">
        <v>51</v>
      </c>
      <c r="I134" s="24"/>
      <c r="J134" s="24"/>
      <c r="K134" s="24"/>
      <c r="M134" s="22" t="s">
        <v>61</v>
      </c>
      <c r="N134" s="12">
        <f>vlookup(H134,data_summary_by_question!U2:V7,2, FALSE)</f>
        <v>0</v>
      </c>
      <c r="P134" s="12">
        <f>H134</f>
        <v>0</v>
      </c>
    </row>
    <row r="135" spans="1:16" ht="48" customHeight="1">
      <c r="A135" s="25" t="s">
        <v>67</v>
      </c>
      <c r="B135" s="25"/>
      <c r="C135" s="25"/>
      <c r="D135" s="25"/>
      <c r="E135" s="25"/>
      <c r="F135" s="25"/>
      <c r="G135" s="25"/>
      <c r="H135" s="26" t="s">
        <v>51</v>
      </c>
      <c r="I135" s="26"/>
      <c r="J135" s="26"/>
      <c r="K135" s="26"/>
      <c r="M135" s="26" t="s">
        <v>68</v>
      </c>
    </row>
    <row r="137" spans="1:16" ht="48" customHeight="1">
      <c r="A137" s="21" t="s">
        <v>148</v>
      </c>
      <c r="B137" s="21"/>
      <c r="C137" s="21"/>
      <c r="D137" s="21"/>
      <c r="E137" s="21"/>
      <c r="F137" s="21"/>
      <c r="G137" s="21"/>
      <c r="H137" s="20" t="s">
        <v>58</v>
      </c>
      <c r="I137" s="20"/>
      <c r="J137" s="20"/>
      <c r="K137" s="20"/>
      <c r="M137" s="22" t="s">
        <v>59</v>
      </c>
    </row>
    <row r="138" spans="1:16" ht="48" customHeight="1">
      <c r="A138" s="23" t="s">
        <v>149</v>
      </c>
      <c r="B138" s="23"/>
      <c r="C138" s="23"/>
      <c r="D138" s="23"/>
      <c r="E138" s="23"/>
      <c r="F138" s="23"/>
      <c r="G138" s="23"/>
      <c r="H138" s="24" t="s">
        <v>51</v>
      </c>
      <c r="I138" s="24"/>
      <c r="J138" s="24"/>
      <c r="K138" s="24"/>
      <c r="M138" s="22" t="s">
        <v>61</v>
      </c>
      <c r="N138" s="12">
        <f>vlookup(H138,data_summary_by_question!U2:V7,2, FALSE)</f>
        <v>0</v>
      </c>
      <c r="O138" s="12">
        <f>average(N138:N139)</f>
        <v>0</v>
      </c>
      <c r="P138" s="12">
        <f>H138</f>
        <v>0</v>
      </c>
    </row>
    <row r="139" spans="1:16" ht="48" customHeight="1">
      <c r="A139" s="23" t="s">
        <v>150</v>
      </c>
      <c r="B139" s="23"/>
      <c r="C139" s="23"/>
      <c r="D139" s="23"/>
      <c r="E139" s="23"/>
      <c r="F139" s="23"/>
      <c r="G139" s="23"/>
      <c r="H139" s="24" t="s">
        <v>51</v>
      </c>
      <c r="I139" s="24"/>
      <c r="J139" s="24"/>
      <c r="K139" s="24"/>
      <c r="M139" s="22" t="s">
        <v>61</v>
      </c>
      <c r="N139" s="12">
        <f>vlookup(H139,data_summary_by_question!U2:V7,2, FALSE)</f>
        <v>0</v>
      </c>
      <c r="P139" s="12">
        <f>H139</f>
        <v>0</v>
      </c>
    </row>
    <row r="140" spans="1:16" ht="48" customHeight="1">
      <c r="A140" s="25" t="s">
        <v>67</v>
      </c>
      <c r="B140" s="25"/>
      <c r="C140" s="25"/>
      <c r="D140" s="25"/>
      <c r="E140" s="25"/>
      <c r="F140" s="25"/>
      <c r="G140" s="25"/>
      <c r="H140" s="26" t="s">
        <v>51</v>
      </c>
      <c r="I140" s="26"/>
      <c r="J140" s="26"/>
      <c r="K140" s="26"/>
      <c r="M140" s="26" t="s">
        <v>68</v>
      </c>
    </row>
    <row r="142" spans="1:16" ht="48" customHeight="1">
      <c r="A142" s="21" t="s">
        <v>151</v>
      </c>
      <c r="B142" s="21"/>
      <c r="C142" s="21"/>
      <c r="D142" s="21"/>
      <c r="E142" s="21"/>
      <c r="F142" s="21"/>
      <c r="G142" s="21"/>
      <c r="H142" s="20" t="s">
        <v>58</v>
      </c>
      <c r="I142" s="20"/>
      <c r="J142" s="20"/>
      <c r="K142" s="20"/>
      <c r="M142" s="22" t="s">
        <v>59</v>
      </c>
    </row>
    <row r="143" spans="1:16" ht="48" customHeight="1">
      <c r="A143" s="23" t="s">
        <v>152</v>
      </c>
      <c r="B143" s="23"/>
      <c r="C143" s="23"/>
      <c r="D143" s="23"/>
      <c r="E143" s="23"/>
      <c r="F143" s="23"/>
      <c r="G143" s="23"/>
      <c r="H143" s="24" t="s">
        <v>51</v>
      </c>
      <c r="I143" s="24"/>
      <c r="J143" s="24"/>
      <c r="K143" s="24"/>
      <c r="M143" s="22" t="s">
        <v>61</v>
      </c>
      <c r="N143" s="12">
        <f>vlookup(H143,data_summary_by_question!U2:V7,2, FALSE)</f>
        <v>0</v>
      </c>
      <c r="O143" s="12">
        <f>average(N143:N144)</f>
        <v>0</v>
      </c>
      <c r="P143" s="12">
        <f>H143</f>
        <v>0</v>
      </c>
    </row>
    <row r="144" spans="1:16" ht="48" customHeight="1">
      <c r="A144" s="23" t="s">
        <v>153</v>
      </c>
      <c r="B144" s="23"/>
      <c r="C144" s="23"/>
      <c r="D144" s="23"/>
      <c r="E144" s="23"/>
      <c r="F144" s="23"/>
      <c r="G144" s="23"/>
      <c r="H144" s="24" t="s">
        <v>51</v>
      </c>
      <c r="I144" s="24"/>
      <c r="J144" s="24"/>
      <c r="K144" s="24"/>
      <c r="M144" s="22" t="s">
        <v>61</v>
      </c>
      <c r="N144" s="12">
        <f>vlookup(H144,data_summary_by_question!U2:V7,2, FALSE)</f>
        <v>0</v>
      </c>
      <c r="P144" s="12">
        <f>H144</f>
        <v>0</v>
      </c>
    </row>
    <row r="145" spans="1:13" ht="48" customHeight="1">
      <c r="A145" s="25" t="s">
        <v>67</v>
      </c>
      <c r="B145" s="25"/>
      <c r="C145" s="25"/>
      <c r="D145" s="25"/>
      <c r="E145" s="25"/>
      <c r="F145" s="25"/>
      <c r="G145" s="25"/>
      <c r="H145" s="26" t="s">
        <v>51</v>
      </c>
      <c r="I145" s="26"/>
      <c r="J145" s="26"/>
      <c r="K145" s="26"/>
      <c r="M145" s="26" t="s">
        <v>68</v>
      </c>
    </row>
    <row r="148" spans="1:13" ht="48" customHeight="1">
      <c r="A148" s="25" t="s">
        <v>154</v>
      </c>
      <c r="B148" s="25"/>
      <c r="C148" s="25"/>
      <c r="D148" s="25"/>
      <c r="E148" s="25"/>
      <c r="F148" s="25"/>
      <c r="G148" s="25"/>
      <c r="H148" s="26" t="s">
        <v>51</v>
      </c>
      <c r="I148" s="26"/>
      <c r="J148" s="26"/>
      <c r="K148" s="26"/>
      <c r="M148" s="26" t="s">
        <v>61</v>
      </c>
    </row>
    <row r="150" spans="1:13" ht="48" customHeight="1">
      <c r="A150" s="25" t="s">
        <v>155</v>
      </c>
      <c r="B150" s="25"/>
      <c r="C150" s="25"/>
      <c r="D150" s="25"/>
      <c r="E150" s="25"/>
      <c r="F150" s="25"/>
      <c r="G150" s="25"/>
      <c r="H150" s="26" t="s">
        <v>51</v>
      </c>
      <c r="I150" s="26"/>
      <c r="J150" s="26"/>
      <c r="K150" s="26"/>
      <c r="M150" s="26" t="s">
        <v>61</v>
      </c>
    </row>
    <row r="152" spans="1:13" ht="48" customHeight="1">
      <c r="A152" s="25" t="s">
        <v>156</v>
      </c>
      <c r="B152" s="25"/>
      <c r="C152" s="25"/>
      <c r="D152" s="25"/>
      <c r="E152" s="25"/>
      <c r="F152" s="25"/>
      <c r="G152" s="25"/>
      <c r="H152" s="26" t="s">
        <v>51</v>
      </c>
      <c r="I152" s="26"/>
      <c r="J152" s="26"/>
      <c r="K152" s="26"/>
      <c r="M152" s="26" t="s">
        <v>61</v>
      </c>
    </row>
    <row r="156" spans="1:13" s="12" customFormat="1">
      <c r="A156" s="12" t="s">
        <v>157</v>
      </c>
      <c r="B156" s="12" t="s">
        <v>158</v>
      </c>
      <c r="C156" s="12" t="s">
        <v>159</v>
      </c>
    </row>
    <row r="157" spans="1:13" s="12" customFormat="1">
      <c r="A157" s="12" t="s">
        <v>46</v>
      </c>
      <c r="B157" s="12">
        <f>COUNTIF(P12:P145,A157)</f>
        <v>0</v>
      </c>
      <c r="C157" s="12">
        <f>B157/ B164</f>
        <v>0</v>
      </c>
    </row>
    <row r="158" spans="1:13" s="12" customFormat="1">
      <c r="A158" s="12" t="s">
        <v>47</v>
      </c>
      <c r="B158" s="12">
        <f>COUNTIF(P12:P145,A158)</f>
        <v>0</v>
      </c>
      <c r="C158" s="12">
        <f>B158/ B164</f>
        <v>0</v>
      </c>
    </row>
    <row r="159" spans="1:13" s="12" customFormat="1">
      <c r="A159" s="12" t="s">
        <v>48</v>
      </c>
      <c r="B159" s="12">
        <f>COUNTIF(P12:P145,A159)</f>
        <v>0</v>
      </c>
      <c r="C159" s="12">
        <f>B159/ B164</f>
        <v>0</v>
      </c>
    </row>
    <row r="160" spans="1:13" s="12" customFormat="1">
      <c r="A160" s="12" t="s">
        <v>49</v>
      </c>
      <c r="B160" s="12">
        <f>COUNTIF(P12:P145,A160)</f>
        <v>0</v>
      </c>
      <c r="C160" s="12">
        <f>B160/ B164</f>
        <v>0</v>
      </c>
    </row>
    <row r="161" spans="1:3" s="12" customFormat="1">
      <c r="A161" s="12" t="s">
        <v>50</v>
      </c>
      <c r="B161" s="12">
        <f>COUNTIF(P12:P145,A161)</f>
        <v>0</v>
      </c>
      <c r="C161" s="12">
        <f>B161/ B164</f>
        <v>0</v>
      </c>
    </row>
    <row r="162" spans="1:3" s="12" customFormat="1">
      <c r="A162" s="12" t="s">
        <v>51</v>
      </c>
      <c r="B162" s="12">
        <f>COUNTIF(P12:P145,A162)</f>
        <v>0</v>
      </c>
      <c r="C162" s="12">
        <f>B162/ B164</f>
        <v>0</v>
      </c>
    </row>
    <row r="163" spans="1:3" s="12" customFormat="1"/>
    <row r="164" spans="1:3" s="12" customFormat="1">
      <c r="A164" s="12" t="s">
        <v>160</v>
      </c>
      <c r="B164" s="12">
        <f>SUM(B157:B162)</f>
        <v>0</v>
      </c>
    </row>
    <row r="165" spans="1:3" s="12" customFormat="1"/>
    <row r="166" spans="1:3" s="12" customFormat="1">
      <c r="A166" s="12" t="s">
        <v>161</v>
      </c>
    </row>
    <row r="167" spans="1:3" s="12" customFormat="1">
      <c r="A167" s="12" t="s">
        <v>162</v>
      </c>
      <c r="B167" s="12">
        <f>countifs(O12:O145,"&gt;=1.0", O12:O145,"&lt;=1.0")</f>
        <v>0</v>
      </c>
    </row>
    <row r="168" spans="1:3" s="12" customFormat="1">
      <c r="A168" s="12" t="s">
        <v>163</v>
      </c>
      <c r="B168" s="12">
        <f>countifs(O12:O145,"&gt;=0.75", O12:O145,"&lt;=0.99")</f>
        <v>0</v>
      </c>
    </row>
    <row r="169" spans="1:3" s="12" customFormat="1">
      <c r="A169" s="12" t="s">
        <v>164</v>
      </c>
      <c r="B169" s="12">
        <f>countifs(O12:O145,"&gt;=0.5", O12:O145,"&lt;=0.74")</f>
        <v>0</v>
      </c>
    </row>
    <row r="170" spans="1:3" s="12" customFormat="1">
      <c r="A170" s="12" t="s">
        <v>165</v>
      </c>
      <c r="B170" s="12">
        <f>countifs(O12:O145,"&gt;=0.25", O12:O145,"&lt;=0.49")</f>
        <v>0</v>
      </c>
    </row>
    <row r="171" spans="1:3" s="12" customFormat="1">
      <c r="A171" s="12" t="s">
        <v>166</v>
      </c>
      <c r="B171" s="12">
        <f>countifs(O12:O145,"&gt;=0.0", O12:O145,"&lt;=0.24")</f>
        <v>0</v>
      </c>
    </row>
    <row r="172" spans="1:3" s="12" customFormat="1"/>
    <row r="173" spans="1:3" s="12" customFormat="1">
      <c r="A173" s="12" t="s">
        <v>160</v>
      </c>
      <c r="B173" s="12">
        <f>SUM(B167:B171)</f>
        <v>0</v>
      </c>
    </row>
  </sheetData>
  <sheetProtection password="E4E4" sheet="1" objects="1" scenarios="1"/>
  <mergeCells count="257">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5:G15"/>
    <mergeCell ref="H15:K15"/>
    <mergeCell ref="A16:G16"/>
    <mergeCell ref="H16:K16"/>
    <mergeCell ref="A17:G17"/>
    <mergeCell ref="H17:K17"/>
    <mergeCell ref="A18:G18"/>
    <mergeCell ref="H18:K18"/>
    <mergeCell ref="A20:G20"/>
    <mergeCell ref="H20:K20"/>
    <mergeCell ref="A21:G21"/>
    <mergeCell ref="H21:K21"/>
    <mergeCell ref="A22:G22"/>
    <mergeCell ref="H22:K22"/>
    <mergeCell ref="A23:G23"/>
    <mergeCell ref="H23:K23"/>
    <mergeCell ref="A25:G25"/>
    <mergeCell ref="H25:K25"/>
    <mergeCell ref="A26:G26"/>
    <mergeCell ref="H26:K26"/>
    <mergeCell ref="A27:G27"/>
    <mergeCell ref="H27:K27"/>
    <mergeCell ref="A28:G28"/>
    <mergeCell ref="H28:K28"/>
    <mergeCell ref="A29:G29"/>
    <mergeCell ref="H29:K29"/>
    <mergeCell ref="A30:G30"/>
    <mergeCell ref="H30:K30"/>
    <mergeCell ref="A31:G31"/>
    <mergeCell ref="H31:K31"/>
    <mergeCell ref="A32:G32"/>
    <mergeCell ref="H32:K32"/>
    <mergeCell ref="A34:G34"/>
    <mergeCell ref="H34:K34"/>
    <mergeCell ref="A35:G35"/>
    <mergeCell ref="H35:K35"/>
    <mergeCell ref="A36:G36"/>
    <mergeCell ref="H36:K36"/>
    <mergeCell ref="A37:G37"/>
    <mergeCell ref="H37:K37"/>
    <mergeCell ref="A38:G38"/>
    <mergeCell ref="H38:K38"/>
    <mergeCell ref="A39:G39"/>
    <mergeCell ref="H39:K39"/>
    <mergeCell ref="A40:G40"/>
    <mergeCell ref="H40:K40"/>
    <mergeCell ref="A42:G42"/>
    <mergeCell ref="H42:K42"/>
    <mergeCell ref="A43:G43"/>
    <mergeCell ref="H43:K43"/>
    <mergeCell ref="A44:G44"/>
    <mergeCell ref="H44:K44"/>
    <mergeCell ref="A45:G45"/>
    <mergeCell ref="H45:K45"/>
    <mergeCell ref="A46:G46"/>
    <mergeCell ref="H46:K46"/>
    <mergeCell ref="A48:G48"/>
    <mergeCell ref="H48:K48"/>
    <mergeCell ref="A49:G49"/>
    <mergeCell ref="H49:K49"/>
    <mergeCell ref="A50:G50"/>
    <mergeCell ref="H50:K50"/>
    <mergeCell ref="A51:G51"/>
    <mergeCell ref="H51:K51"/>
    <mergeCell ref="A53:G53"/>
    <mergeCell ref="H53:K53"/>
    <mergeCell ref="A54:G54"/>
    <mergeCell ref="H54:K54"/>
    <mergeCell ref="A55:G55"/>
    <mergeCell ref="H55:K55"/>
    <mergeCell ref="A56:G56"/>
    <mergeCell ref="H56:K56"/>
    <mergeCell ref="A57:G57"/>
    <mergeCell ref="H57:K57"/>
    <mergeCell ref="A58:G58"/>
    <mergeCell ref="H58:K58"/>
    <mergeCell ref="A60:G60"/>
    <mergeCell ref="H60:K60"/>
    <mergeCell ref="A61:G61"/>
    <mergeCell ref="H61:K61"/>
    <mergeCell ref="A62:G62"/>
    <mergeCell ref="H62:K62"/>
    <mergeCell ref="A63:G63"/>
    <mergeCell ref="H63:K63"/>
    <mergeCell ref="A65:G65"/>
    <mergeCell ref="H65:K65"/>
    <mergeCell ref="A66:G66"/>
    <mergeCell ref="H66:K66"/>
    <mergeCell ref="A67:G67"/>
    <mergeCell ref="H67:K67"/>
    <mergeCell ref="A68:G68"/>
    <mergeCell ref="H68:K68"/>
    <mergeCell ref="A70:G70"/>
    <mergeCell ref="H70:K70"/>
    <mergeCell ref="A71:G71"/>
    <mergeCell ref="H71:K71"/>
    <mergeCell ref="A72:G72"/>
    <mergeCell ref="H72:K72"/>
    <mergeCell ref="A73:G73"/>
    <mergeCell ref="H73:K73"/>
    <mergeCell ref="A74:G74"/>
    <mergeCell ref="H74:K74"/>
    <mergeCell ref="A75:G75"/>
    <mergeCell ref="H75:K75"/>
    <mergeCell ref="A77:G77"/>
    <mergeCell ref="H77:K77"/>
    <mergeCell ref="A78:G78"/>
    <mergeCell ref="H78:K78"/>
    <mergeCell ref="A79:G79"/>
    <mergeCell ref="H79:K79"/>
    <mergeCell ref="A80:G80"/>
    <mergeCell ref="H80:K80"/>
    <mergeCell ref="A82:G82"/>
    <mergeCell ref="H82:K82"/>
    <mergeCell ref="A83:G83"/>
    <mergeCell ref="H83:K83"/>
    <mergeCell ref="A84:G84"/>
    <mergeCell ref="H84:K84"/>
    <mergeCell ref="A85:G85"/>
    <mergeCell ref="H85:K85"/>
    <mergeCell ref="A87:G87"/>
    <mergeCell ref="H87:K87"/>
    <mergeCell ref="A88:G88"/>
    <mergeCell ref="H88:K88"/>
    <mergeCell ref="A89:G89"/>
    <mergeCell ref="H89:K89"/>
    <mergeCell ref="A90:G90"/>
    <mergeCell ref="H90:K90"/>
    <mergeCell ref="A91:G91"/>
    <mergeCell ref="H91:K91"/>
    <mergeCell ref="A93:G93"/>
    <mergeCell ref="H93:K93"/>
    <mergeCell ref="A94:G94"/>
    <mergeCell ref="H94:K94"/>
    <mergeCell ref="A95:G95"/>
    <mergeCell ref="H95:K95"/>
    <mergeCell ref="A96:G96"/>
    <mergeCell ref="H96:K96"/>
    <mergeCell ref="A98:G98"/>
    <mergeCell ref="H98:K98"/>
    <mergeCell ref="A99:G99"/>
    <mergeCell ref="H99:K99"/>
    <mergeCell ref="A100:G100"/>
    <mergeCell ref="H100:K100"/>
    <mergeCell ref="A101:G101"/>
    <mergeCell ref="H101:K101"/>
    <mergeCell ref="A102:G102"/>
    <mergeCell ref="H102:K102"/>
    <mergeCell ref="A104:G104"/>
    <mergeCell ref="H104:K104"/>
    <mergeCell ref="A105:G105"/>
    <mergeCell ref="H105:K105"/>
    <mergeCell ref="A106:G106"/>
    <mergeCell ref="H106:K106"/>
    <mergeCell ref="A107:G107"/>
    <mergeCell ref="H107:K107"/>
    <mergeCell ref="A108:G108"/>
    <mergeCell ref="H108:K108"/>
    <mergeCell ref="A109:G109"/>
    <mergeCell ref="H109:K109"/>
    <mergeCell ref="A110:G110"/>
    <mergeCell ref="H110:K110"/>
    <mergeCell ref="A112:G112"/>
    <mergeCell ref="H112:K112"/>
    <mergeCell ref="A113:G113"/>
    <mergeCell ref="H113:K113"/>
    <mergeCell ref="A114:G114"/>
    <mergeCell ref="H114:K114"/>
    <mergeCell ref="A115:G115"/>
    <mergeCell ref="H115:K115"/>
    <mergeCell ref="A116:G116"/>
    <mergeCell ref="H116:K116"/>
    <mergeCell ref="A118:G118"/>
    <mergeCell ref="H118:K118"/>
    <mergeCell ref="A119:G119"/>
    <mergeCell ref="H119:K119"/>
    <mergeCell ref="A120:G120"/>
    <mergeCell ref="H120:K120"/>
    <mergeCell ref="A121:G121"/>
    <mergeCell ref="H121:K121"/>
    <mergeCell ref="A122:G122"/>
    <mergeCell ref="H122:K122"/>
    <mergeCell ref="A123:G123"/>
    <mergeCell ref="H123:K123"/>
    <mergeCell ref="A125:G125"/>
    <mergeCell ref="H125:K125"/>
    <mergeCell ref="A126:G126"/>
    <mergeCell ref="H126:K126"/>
    <mergeCell ref="A127:G127"/>
    <mergeCell ref="H127:K127"/>
    <mergeCell ref="A128:G128"/>
    <mergeCell ref="H128:K128"/>
    <mergeCell ref="A130:G130"/>
    <mergeCell ref="H130:K130"/>
    <mergeCell ref="A131:G131"/>
    <mergeCell ref="H131:K131"/>
    <mergeCell ref="A132:G132"/>
    <mergeCell ref="H132:K132"/>
    <mergeCell ref="A133:G133"/>
    <mergeCell ref="H133:K133"/>
    <mergeCell ref="A134:G134"/>
    <mergeCell ref="H134:K134"/>
    <mergeCell ref="A135:G135"/>
    <mergeCell ref="H135:K135"/>
    <mergeCell ref="A137:G137"/>
    <mergeCell ref="H137:K137"/>
    <mergeCell ref="A138:G138"/>
    <mergeCell ref="H138:K138"/>
    <mergeCell ref="A139:G139"/>
    <mergeCell ref="H139:K139"/>
    <mergeCell ref="A140:G140"/>
    <mergeCell ref="H140:K140"/>
    <mergeCell ref="A142:G142"/>
    <mergeCell ref="H142:K142"/>
    <mergeCell ref="A143:G143"/>
    <mergeCell ref="H143:K143"/>
    <mergeCell ref="A144:G144"/>
    <mergeCell ref="H144:K144"/>
    <mergeCell ref="A145:G145"/>
    <mergeCell ref="H145:K145"/>
    <mergeCell ref="A148:G148"/>
    <mergeCell ref="H148:K148"/>
    <mergeCell ref="A150:G150"/>
    <mergeCell ref="H150:K150"/>
    <mergeCell ref="A152:G152"/>
    <mergeCell ref="H152:K152"/>
  </mergeCells>
  <dataValidations count="95">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"Yes,It Does Not Apply,Partially,I Have Done An Alternative Approach,No,No Answer"</formula1>
    </dataValidation>
    <dataValidation type="list" allowBlank="1" showInputMessage="1" showErrorMessage="1" sqref="H15">
      <formula1>"Yes,It Does Not Apply,Partially,I Have Done An Alternative Approach,No,No Answer"</formula1>
    </dataValidation>
    <dataValidation type="list" allowBlank="1" showInputMessage="1" showErrorMessage="1" sqref="H16">
      <formula1>"Yes,It Does Not Apply,Partially,I Have Done An Alternative Approach,No,No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"Completed,Partially Completed,Not Yet Started,No Answer"</formula1>
    </dataValidation>
    <dataValidation type="list" allowBlank="1" showInputMessage="1" showErrorMessage="1" sqref="H21">
      <formula1>"Yes,It Does Not Apply,Partially,I Have Done An Alternative Approach,No,No Answer"</formula1>
    </dataValidation>
    <dataValidation type="list" allowBlank="1" showInputMessage="1" showErrorMessage="1" sqref="H22">
      <formula1>"Yes,It Does Not Apply,Partially,I Have Done An Alternative Approach,No,No Answer"</formula1>
    </dataValidation>
    <dataValidation type="list" allowBlank="1" showInputMessage="1" showErrorMessage="1" sqref="H23">
      <formula1>"Completed,Partially Completed,Not Yet Started,No Answer"</formula1>
    </dataValidation>
    <dataValidation type="list" allowBlank="1" showInputMessage="1" showErrorMessage="1" sqref="H26">
      <formula1>"Yes,It Does Not Apply,Partially,I Have Done An Alternative Approach,No,No Answer"</formula1>
    </dataValidation>
    <dataValidation type="list" allowBlank="1" showInputMessage="1" showErrorMessage="1" sqref="H27">
      <formula1>"Yes,It Does Not Apply,Partially,I Have Done An Alternative Approach,No,No Answer"</formula1>
    </dataValidation>
    <dataValidation type="list" allowBlank="1" showInputMessage="1" showErrorMessage="1" sqref="H28">
      <formula1>"Yes,It Does Not Apply,Partially,I Have Done An Alternative Approach,No,No Answer"</formula1>
    </dataValidation>
    <dataValidation type="list" allowBlank="1" showInputMessage="1" showErrorMessage="1" sqref="H29">
      <formula1>"Yes,It Does Not Apply,Partially,I Have Done An Alternative Approach,No,No Answer"</formula1>
    </dataValidation>
    <dataValidation type="list" allowBlank="1" showInputMessage="1" showErrorMessage="1" sqref="H30">
      <formula1>"Yes,It Does Not Apply,Partially,I Have Done An Alternative Approach,No,No Answer"</formula1>
    </dataValidation>
    <dataValidation type="list" allowBlank="1" showInputMessage="1" showErrorMessage="1" sqref="H31">
      <formula1>"Yes,It Does Not Apply,Partially,I Have Done An Alternative Approach,No,No Answer"</formula1>
    </dataValidation>
    <dataValidation type="list" allowBlank="1" showInputMessage="1" showErrorMessage="1" sqref="H32">
      <formula1>"Completed,Partially Completed,Not Yet Started,No Answer"</formula1>
    </dataValidation>
    <dataValidation type="list" allowBlank="1" showInputMessage="1" showErrorMessage="1" sqref="H35">
      <formula1>"Yes,It Does Not Apply,Partially,I Have Done An Alternative Approach,No,No Answer"</formula1>
    </dataValidation>
    <dataValidation type="list" allowBlank="1" showInputMessage="1" showErrorMessage="1" sqref="H36">
      <formula1>"Yes,It Does Not Apply,Partially,I Have Done An Alternative Approach,No,No Answer"</formula1>
    </dataValidation>
    <dataValidation type="list" allowBlank="1" showInputMessage="1" showErrorMessage="1" sqref="H37">
      <formula1>"Yes,It Does Not Apply,Partially,I Have Done An Alternative Approach,No,No Answer"</formula1>
    </dataValidation>
    <dataValidation type="list" allowBlank="1" showInputMessage="1" showErrorMessage="1" sqref="H38">
      <formula1>"Yes,It Does Not Apply,Partially,I Have Done An Alternative Approach,No,No Answer"</formula1>
    </dataValidation>
    <dataValidation type="list" allowBlank="1" showInputMessage="1" showErrorMessage="1" sqref="H39">
      <formula1>"Yes,It Does Not Apply,Partially,I Have Done An Alternative Approach,No,No Answer"</formula1>
    </dataValidation>
    <dataValidation type="list" allowBlank="1" showInputMessage="1" showErrorMessage="1" sqref="H40">
      <formula1>"Completed,Partially Completed,Not Yet Started,No Answer"</formula1>
    </dataValidation>
    <dataValidation type="list" allowBlank="1" showInputMessage="1" showErrorMessage="1" sqref="H43">
      <formula1>"Yes,It Does Not Apply,Partially,I Have Done An Alternative Approach,No,No Answer"</formula1>
    </dataValidation>
    <dataValidation type="list" allowBlank="1" showInputMessage="1" showErrorMessage="1" sqref="H44">
      <formula1>"Yes,It Does Not Apply,Partially,I Have Done An Alternative Approach,No,No Answer"</formula1>
    </dataValidation>
    <dataValidation type="list" allowBlank="1" showInputMessage="1" showErrorMessage="1" sqref="H45">
      <formula1>"Yes,It Does Not Apply,Partially,I Have Done An Alternative Approach,No,No Answer"</formula1>
    </dataValidation>
    <dataValidation type="list" allowBlank="1" showInputMessage="1" showErrorMessage="1" sqref="H46">
      <formula1>"Completed,Partially Completed,Not Yet Started,No Answer"</formula1>
    </dataValidation>
    <dataValidation type="list" allowBlank="1" showInputMessage="1" showErrorMessage="1" sqref="H49">
      <formula1>"Yes,It Does Not Apply,Partially,I Have Done An Alternative Approach,No,No Answer"</formula1>
    </dataValidation>
    <dataValidation type="list" allowBlank="1" showInputMessage="1" showErrorMessage="1" sqref="H50">
      <formula1>"Yes,It Does Not Apply,Partially,I Have Done An Alternative Approach,No,No Answer"</formula1>
    </dataValidation>
    <dataValidation type="list" allowBlank="1" showInputMessage="1" showErrorMessage="1" sqref="H51">
      <formula1>"Completed,Partially Completed,Not Yet Started,No Answer"</formula1>
    </dataValidation>
    <dataValidation type="list" allowBlank="1" showInputMessage="1" showErrorMessage="1" sqref="H54">
      <formula1>"Yes,It Does Not Apply,Partially,I Have Done An Alternative Approach,No,No Answer"</formula1>
    </dataValidation>
    <dataValidation type="list" allowBlank="1" showInputMessage="1" showErrorMessage="1" sqref="H55">
      <formula1>"Yes,It Does Not Apply,Partially,I Have Done An Alternative Approach,No,No Answer"</formula1>
    </dataValidation>
    <dataValidation type="list" allowBlank="1" showInputMessage="1" showErrorMessage="1" sqref="H56">
      <formula1>"Yes,It Does Not Apply,Partially,I Have Done An Alternative Approach,No,No Answer"</formula1>
    </dataValidation>
    <dataValidation type="list" allowBlank="1" showInputMessage="1" showErrorMessage="1" sqref="H57">
      <formula1>"Yes,It Does Not Apply,Partially,I Have Done An Alternative Approach,No,No Answer"</formula1>
    </dataValidation>
    <dataValidation type="list" allowBlank="1" showInputMessage="1" showErrorMessage="1" sqref="H58">
      <formula1>"Completed,Partially Completed,Not Yet Started,No Answer"</formula1>
    </dataValidation>
    <dataValidation type="list" allowBlank="1" showInputMessage="1" showErrorMessage="1" sqref="H61">
      <formula1>"Yes,It Does Not Apply,Partially,I Have Done An Alternative Approach,No,No Answer"</formula1>
    </dataValidation>
    <dataValidation type="list" allowBlank="1" showInputMessage="1" showErrorMessage="1" sqref="H62">
      <formula1>"Yes,It Does Not Apply,Partially,I Have Done An Alternative Approach,No,No Answer"</formula1>
    </dataValidation>
    <dataValidation type="list" allowBlank="1" showInputMessage="1" showErrorMessage="1" sqref="H63">
      <formula1>"Completed,Partially Completed,Not Yet Started,No Answer"</formula1>
    </dataValidation>
    <dataValidation type="list" allowBlank="1" showInputMessage="1" showErrorMessage="1" sqref="H66">
      <formula1>"Yes,It Does Not Apply,Partially,I Have Done An Alternative Approach,No,No Answer"</formula1>
    </dataValidation>
    <dataValidation type="list" allowBlank="1" showInputMessage="1" showErrorMessage="1" sqref="H67">
      <formula1>"Yes,It Does Not Apply,Partially,I Have Done An Alternative Approach,No,No Answer"</formula1>
    </dataValidation>
    <dataValidation type="list" allowBlank="1" showInputMessage="1" showErrorMessage="1" sqref="H68">
      <formula1>"Completed,Partially Completed,Not Yet Started,No Answer"</formula1>
    </dataValidation>
    <dataValidation type="list" allowBlank="1" showInputMessage="1" showErrorMessage="1" sqref="H71">
      <formula1>"Yes,It Does Not Apply,Partially,I Have Done An Alternative Approach,No,No Answer"</formula1>
    </dataValidation>
    <dataValidation type="list" allowBlank="1" showInputMessage="1" showErrorMessage="1" sqref="H72">
      <formula1>"Yes,It Does Not Apply,Partially,I Have Done An Alternative Approach,No,No Answer"</formula1>
    </dataValidation>
    <dataValidation type="list" allowBlank="1" showInputMessage="1" showErrorMessage="1" sqref="H73">
      <formula1>"Yes,It Does Not Apply,Partially,I Have Done An Alternative Approach,No,No Answer"</formula1>
    </dataValidation>
    <dataValidation type="list" allowBlank="1" showInputMessage="1" showErrorMessage="1" sqref="H74">
      <formula1>"Yes,It Does Not Apply,Partially,I Have Done An Alternative Approach,No,No Answer"</formula1>
    </dataValidation>
    <dataValidation type="list" allowBlank="1" showInputMessage="1" showErrorMessage="1" sqref="H75">
      <formula1>"Completed,Partially Completed,Not Yet Started,No Answer"</formula1>
    </dataValidation>
    <dataValidation type="list" allowBlank="1" showInputMessage="1" showErrorMessage="1" sqref="H78">
      <formula1>"Yes,It Does Not Apply,Partially,I Have Done An Alternative Approach,No,No Answer"</formula1>
    </dataValidation>
    <dataValidation type="list" allowBlank="1" showInputMessage="1" showErrorMessage="1" sqref="H79">
      <formula1>"Yes,It Does Not Apply,Partially,I Have Done An Alternative Approach,No,No Answer"</formula1>
    </dataValidation>
    <dataValidation type="list" allowBlank="1" showInputMessage="1" showErrorMessage="1" sqref="H80">
      <formula1>"Completed,Partially Completed,Not Yet Started,No Answer"</formula1>
    </dataValidation>
    <dataValidation type="list" allowBlank="1" showInputMessage="1" showErrorMessage="1" sqref="H83">
      <formula1>"Yes,It Does Not Apply,Partially,I Have Done An Alternative Approach,No,No Answer"</formula1>
    </dataValidation>
    <dataValidation type="list" allowBlank="1" showInputMessage="1" showErrorMessage="1" sqref="H84">
      <formula1>"Yes,It Does Not Apply,Partially,I Have Done An Alternative Approach,No,No Answer"</formula1>
    </dataValidation>
    <dataValidation type="list" allowBlank="1" showInputMessage="1" showErrorMessage="1" sqref="H85">
      <formula1>"Completed,Partially Completed,Not Yet Started,No Answer"</formula1>
    </dataValidation>
    <dataValidation type="list" allowBlank="1" showInputMessage="1" showErrorMessage="1" sqref="H88">
      <formula1>"Yes,It Does Not Apply,Partially,I Have Done An Alternative Approach,No,No Answer"</formula1>
    </dataValidation>
    <dataValidation type="list" allowBlank="1" showInputMessage="1" showErrorMessage="1" sqref="H89">
      <formula1>"Yes,It Does Not Apply,Partially,I Have Done An Alternative Approach,No,No Answer"</formula1>
    </dataValidation>
    <dataValidation type="list" allowBlank="1" showInputMessage="1" showErrorMessage="1" sqref="H90">
      <formula1>"Yes,It Does Not Apply,Partially,I Have Done An Alternative Approach,No,No Answer"</formula1>
    </dataValidation>
    <dataValidation type="list" allowBlank="1" showInputMessage="1" showErrorMessage="1" sqref="H91">
      <formula1>"Completed,Partially Completed,Not Yet Started,No Answer"</formula1>
    </dataValidation>
    <dataValidation type="list" allowBlank="1" showInputMessage="1" showErrorMessage="1" sqref="H94">
      <formula1>"Yes,It Does Not Apply,Partially,I Have Done An Alternative Approach,No,No Answer"</formula1>
    </dataValidation>
    <dataValidation type="list" allowBlank="1" showInputMessage="1" showErrorMessage="1" sqref="H95">
      <formula1>"Yes,It Does Not Apply,Partially,I Have Done An Alternative Approach,No,No Answer"</formula1>
    </dataValidation>
    <dataValidation type="list" allowBlank="1" showInputMessage="1" showErrorMessage="1" sqref="H96">
      <formula1>"Completed,Partially Completed,Not Yet Started,No Answer"</formula1>
    </dataValidation>
    <dataValidation type="list" allowBlank="1" showInputMessage="1" showErrorMessage="1" sqref="H99">
      <formula1>"Yes,It Does Not Apply,Partially,I Have Done An Alternative Approach,No,No Answer"</formula1>
    </dataValidation>
    <dataValidation type="list" allowBlank="1" showInputMessage="1" showErrorMessage="1" sqref="H100">
      <formula1>"Yes,It Does Not Apply,Partially,I Have Done An Alternative Approach,No,No Answer"</formula1>
    </dataValidation>
    <dataValidation type="list" allowBlank="1" showInputMessage="1" showErrorMessage="1" sqref="H101">
      <formula1>"Yes,It Does Not Apply,Partially,I Have Done An Alternative Approach,No,No Answer"</formula1>
    </dataValidation>
    <dataValidation type="list" allowBlank="1" showInputMessage="1" showErrorMessage="1" sqref="H102">
      <formula1>"Completed,Partially Completed,Not Yet Started,No Answer"</formula1>
    </dataValidation>
    <dataValidation type="list" allowBlank="1" showInputMessage="1" showErrorMessage="1" sqref="H105">
      <formula1>"Yes,It Does Not Apply,Partially,I Have Done An Alternative Approach,No,No Answer"</formula1>
    </dataValidation>
    <dataValidation type="list" allowBlank="1" showInputMessage="1" showErrorMessage="1" sqref="H106">
      <formula1>"Yes,It Does Not Apply,Partially,I Have Done An Alternative Approach,No,No Answer"</formula1>
    </dataValidation>
    <dataValidation type="list" allowBlank="1" showInputMessage="1" showErrorMessage="1" sqref="H107">
      <formula1>"Yes,It Does Not Apply,Partially,I Have Done An Alternative Approach,No,No Answer"</formula1>
    </dataValidation>
    <dataValidation type="list" allowBlank="1" showInputMessage="1" showErrorMessage="1" sqref="H108">
      <formula1>"Yes,It Does Not Apply,Partially,I Have Done An Alternative Approach,No,No Answer"</formula1>
    </dataValidation>
    <dataValidation type="list" allowBlank="1" showInputMessage="1" showErrorMessage="1" sqref="H109">
      <formula1>"Yes,It Does Not Apply,Partially,I Have Done An Alternative Approach,No,No Answer"</formula1>
    </dataValidation>
    <dataValidation type="list" allowBlank="1" showInputMessage="1" showErrorMessage="1" sqref="H110">
      <formula1>"Completed,Partially Completed,Not Yet Started,No Answer"</formula1>
    </dataValidation>
    <dataValidation type="list" allowBlank="1" showInputMessage="1" showErrorMessage="1" sqref="H113">
      <formula1>"Yes,It Does Not Apply,Partially,I Have Done An Alternative Approach,No,No Answer"</formula1>
    </dataValidation>
    <dataValidation type="list" allowBlank="1" showInputMessage="1" showErrorMessage="1" sqref="H114">
      <formula1>"Yes,It Does Not Apply,Partially,I Have Done An Alternative Approach,No,No Answer"</formula1>
    </dataValidation>
    <dataValidation type="list" allowBlank="1" showInputMessage="1" showErrorMessage="1" sqref="H115">
      <formula1>"Yes,It Does Not Apply,Partially,I Have Done An Alternative Approach,No,No Answer"</formula1>
    </dataValidation>
    <dataValidation type="list" allowBlank="1" showInputMessage="1" showErrorMessage="1" sqref="H116">
      <formula1>"Completed,Partially Completed,Not Yet Started,No Answer"</formula1>
    </dataValidation>
    <dataValidation type="list" allowBlank="1" showInputMessage="1" showErrorMessage="1" sqref="H119">
      <formula1>"Yes,It Does Not Apply,Partially,I Have Done An Alternative Approach,No,No Answer"</formula1>
    </dataValidation>
    <dataValidation type="list" allowBlank="1" showInputMessage="1" showErrorMessage="1" sqref="H120">
      <formula1>"Yes,It Does Not Apply,Partially,I Have Done An Alternative Approach,No,No Answer"</formula1>
    </dataValidation>
    <dataValidation type="list" allowBlank="1" showInputMessage="1" showErrorMessage="1" sqref="H121">
      <formula1>"Yes,It Does Not Apply,Partially,I Have Done An Alternative Approach,No,No Answer"</formula1>
    </dataValidation>
    <dataValidation type="list" allowBlank="1" showInputMessage="1" showErrorMessage="1" sqref="H122">
      <formula1>"Yes,It Does Not Apply,Partially,I Have Done An Alternative Approach,No,No Answer"</formula1>
    </dataValidation>
    <dataValidation type="list" allowBlank="1" showInputMessage="1" showErrorMessage="1" sqref="H123">
      <formula1>"Completed,Partially Completed,Not Yet Started,No Answer"</formula1>
    </dataValidation>
    <dataValidation type="list" allowBlank="1" showInputMessage="1" showErrorMessage="1" sqref="H126">
      <formula1>"Yes,It Does Not Apply,Partially,I Have Done An Alternative Approach,No,No Answer"</formula1>
    </dataValidation>
    <dataValidation type="list" allowBlank="1" showInputMessage="1" showErrorMessage="1" sqref="H127">
      <formula1>"Yes,It Does Not Apply,Partially,I Have Done An Alternative Approach,No,No Answer"</formula1>
    </dataValidation>
    <dataValidation type="list" allowBlank="1" showInputMessage="1" showErrorMessage="1" sqref="H128">
      <formula1>"Completed,Partially Completed,Not Yet Started,No Answer"</formula1>
    </dataValidation>
    <dataValidation type="list" allowBlank="1" showInputMessage="1" showErrorMessage="1" sqref="H131">
      <formula1>"Yes,It Does Not Apply,Partially,I Have Done An Alternative Approach,No,No Answer"</formula1>
    </dataValidation>
    <dataValidation type="list" allowBlank="1" showInputMessage="1" showErrorMessage="1" sqref="H132">
      <formula1>"Yes,It Does Not Apply,Partially,I Have Done An Alternative Approach,No,No Answer"</formula1>
    </dataValidation>
    <dataValidation type="list" allowBlank="1" showInputMessage="1" showErrorMessage="1" sqref="H133">
      <formula1>"Yes,It Does Not Apply,Partially,I Have Done An Alternative Approach,No,No Answer"</formula1>
    </dataValidation>
    <dataValidation type="list" allowBlank="1" showInputMessage="1" showErrorMessage="1" sqref="H134">
      <formula1>"Yes,It Does Not Apply,Partially,I Have Done An Alternative Approach,No,No Answer"</formula1>
    </dataValidation>
    <dataValidation type="list" allowBlank="1" showInputMessage="1" showErrorMessage="1" sqref="H135">
      <formula1>"Completed,Partially Completed,Not Yet Started,No Answer"</formula1>
    </dataValidation>
    <dataValidation type="list" allowBlank="1" showInputMessage="1" showErrorMessage="1" sqref="H138">
      <formula1>"Yes,It Does Not Apply,Partially,I Have Done An Alternative Approach,No,No Answer"</formula1>
    </dataValidation>
    <dataValidation type="list" allowBlank="1" showInputMessage="1" showErrorMessage="1" sqref="H139">
      <formula1>"Yes,It Does Not Apply,Partially,I Have Done An Alternative Approach,No,No Answer"</formula1>
    </dataValidation>
    <dataValidation type="list" allowBlank="1" showInputMessage="1" showErrorMessage="1" sqref="H140">
      <formula1>"Completed,Partially Completed,Not Yet Started,No Answer"</formula1>
    </dataValidation>
    <dataValidation type="list" allowBlank="1" showInputMessage="1" showErrorMessage="1" sqref="H143">
      <formula1>"Yes,It Does Not Apply,Partially,I Have Done An Alternative Approach,No,No Answer"</formula1>
    </dataValidation>
    <dataValidation type="list" allowBlank="1" showInputMessage="1" showErrorMessage="1" sqref="H144">
      <formula1>"Yes,It Does Not Apply,Partially,I Have Done An Alternative Approach,No,No Answer"</formula1>
    </dataValidation>
    <dataValidation type="list" allowBlank="1" showInputMessage="1" showErrorMessage="1" sqref="H145">
      <formula1>"Completed,Partially Completed,Not Yet Started,No Answer"</formula1>
    </dataValidation>
    <dataValidation type="list" allowBlank="1" showInputMessage="1" showErrorMessage="1" sqref="H148">
      <formula1>"Completed,Partially Completed,Not Yet Started,No Answer"</formula1>
    </dataValidation>
    <dataValidation type="list" allowBlank="1" showInputMessage="1" showErrorMessage="1" sqref="H150">
      <formula1>"Completed,Partially Completed,Not Yet Started,No Answer"</formula1>
    </dataValidation>
    <dataValidation type="list" allowBlank="1" showInputMessage="1" showErrorMessage="1" sqref="H152">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20" r:id="rId2"/>
    <hyperlink ref="A25" r:id="rId3"/>
    <hyperlink ref="A34" r:id="rId4"/>
    <hyperlink ref="A42" r:id="rId5"/>
    <hyperlink ref="A48" r:id="rId6"/>
    <hyperlink ref="A53" r:id="rId7"/>
    <hyperlink ref="A60" r:id="rId8"/>
    <hyperlink ref="A65" r:id="rId9"/>
    <hyperlink ref="A70" r:id="rId10"/>
    <hyperlink ref="A77" r:id="rId11"/>
    <hyperlink ref="A82" r:id="rId12"/>
    <hyperlink ref="A87" r:id="rId13"/>
    <hyperlink ref="A93" r:id="rId14"/>
    <hyperlink ref="A98" r:id="rId15"/>
    <hyperlink ref="A104" r:id="rId16"/>
    <hyperlink ref="A112" r:id="rId17"/>
    <hyperlink ref="A118" r:id="rId18"/>
    <hyperlink ref="A125" r:id="rId19"/>
    <hyperlink ref="A130" r:id="rId20"/>
    <hyperlink ref="A137" r:id="rId21"/>
    <hyperlink ref="A142" r:id="rId22"/>
  </hyperlinks>
  <pageMargins left="0.7" right="0.7" top="0.75" bottom="0.75" header="0.3" footer="0.3"/>
  <drawing r:id="rId23"/>
</worksheet>
</file>

<file path=xl/worksheets/sheet3.xml><?xml version="1.0" encoding="utf-8"?>
<worksheet xmlns="http://schemas.openxmlformats.org/spreadsheetml/2006/main" xmlns:r="http://schemas.openxmlformats.org/officeDocument/2006/relationships">
  <dimension ref="A1:P93"/>
  <sheetViews>
    <sheetView showGridLines="0" workbookViewId="0"/>
  </sheetViews>
  <sheetFormatPr defaultRowHeight="15"/>
  <cols>
    <col min="12" max="12" width="3.7109375" customWidth="1"/>
    <col min="13" max="13" width="61.7109375" customWidth="1"/>
    <col min="14" max="16" width="9.140625" style="12"/>
  </cols>
  <sheetData>
    <row r="1" spans="1:16">
      <c r="A1" s="13" t="s">
        <v>167</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168</v>
      </c>
      <c r="B11" s="21"/>
      <c r="C11" s="21"/>
      <c r="D11" s="21"/>
      <c r="E11" s="21"/>
      <c r="F11" s="21"/>
      <c r="G11" s="21"/>
      <c r="H11" s="20" t="s">
        <v>58</v>
      </c>
      <c r="I11" s="20"/>
      <c r="J11" s="20"/>
      <c r="K11" s="20"/>
      <c r="M11" s="22" t="s">
        <v>59</v>
      </c>
    </row>
    <row r="12" spans="1:16" ht="48" customHeight="1">
      <c r="A12" s="23" t="s">
        <v>169</v>
      </c>
      <c r="B12" s="23"/>
      <c r="C12" s="23"/>
      <c r="D12" s="23"/>
      <c r="E12" s="23"/>
      <c r="F12" s="23"/>
      <c r="G12" s="23"/>
      <c r="H12" s="24" t="s">
        <v>51</v>
      </c>
      <c r="I12" s="24"/>
      <c r="J12" s="24"/>
      <c r="K12" s="24"/>
      <c r="M12" s="22" t="s">
        <v>61</v>
      </c>
      <c r="N12" s="12">
        <f>vlookup(H12,data_summary_by_question!U2:V7,2, FALSE)</f>
        <v>0</v>
      </c>
      <c r="O12" s="12">
        <f>average(N12:N17)</f>
        <v>0</v>
      </c>
      <c r="P12" s="12">
        <f>H12</f>
        <v>0</v>
      </c>
    </row>
    <row r="13" spans="1:16" ht="48" customHeight="1">
      <c r="A13" s="23" t="s">
        <v>170</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3" t="s">
        <v>171</v>
      </c>
      <c r="B14" s="23"/>
      <c r="C14" s="23"/>
      <c r="D14" s="23"/>
      <c r="E14" s="23"/>
      <c r="F14" s="23"/>
      <c r="G14" s="23"/>
      <c r="H14" s="24" t="s">
        <v>51</v>
      </c>
      <c r="I14" s="24"/>
      <c r="J14" s="24"/>
      <c r="K14" s="24"/>
      <c r="M14" s="22" t="s">
        <v>61</v>
      </c>
      <c r="N14" s="12">
        <f>vlookup(H14,data_summary_by_question!U2:V7,2, FALSE)</f>
        <v>0</v>
      </c>
      <c r="P14" s="12">
        <f>H14</f>
        <v>0</v>
      </c>
    </row>
    <row r="15" spans="1:16" ht="48" customHeight="1">
      <c r="A15" s="23" t="s">
        <v>172</v>
      </c>
      <c r="B15" s="23"/>
      <c r="C15" s="23"/>
      <c r="D15" s="23"/>
      <c r="E15" s="23"/>
      <c r="F15" s="23"/>
      <c r="G15" s="23"/>
      <c r="H15" s="24" t="s">
        <v>51</v>
      </c>
      <c r="I15" s="24"/>
      <c r="J15" s="24"/>
      <c r="K15" s="24"/>
      <c r="M15" s="22" t="s">
        <v>61</v>
      </c>
      <c r="N15" s="12">
        <f>vlookup(H15,data_summary_by_question!U2:V7,2, FALSE)</f>
        <v>0</v>
      </c>
      <c r="P15" s="12">
        <f>H15</f>
        <v>0</v>
      </c>
    </row>
    <row r="16" spans="1:16" ht="48" customHeight="1">
      <c r="A16" s="23" t="s">
        <v>173</v>
      </c>
      <c r="B16" s="23"/>
      <c r="C16" s="23"/>
      <c r="D16" s="23"/>
      <c r="E16" s="23"/>
      <c r="F16" s="23"/>
      <c r="G16" s="23"/>
      <c r="H16" s="24" t="s">
        <v>51</v>
      </c>
      <c r="I16" s="24"/>
      <c r="J16" s="24"/>
      <c r="K16" s="24"/>
      <c r="M16" s="22" t="s">
        <v>61</v>
      </c>
      <c r="N16" s="12">
        <f>vlookup(H16,data_summary_by_question!U2:V7,2, FALSE)</f>
        <v>0</v>
      </c>
      <c r="P16" s="12">
        <f>H16</f>
        <v>0</v>
      </c>
    </row>
    <row r="17" spans="1:16" ht="48" customHeight="1">
      <c r="A17" s="23" t="s">
        <v>174</v>
      </c>
      <c r="B17" s="23"/>
      <c r="C17" s="23"/>
      <c r="D17" s="23"/>
      <c r="E17" s="23"/>
      <c r="F17" s="23"/>
      <c r="G17" s="23"/>
      <c r="H17" s="24" t="s">
        <v>51</v>
      </c>
      <c r="I17" s="24"/>
      <c r="J17" s="24"/>
      <c r="K17" s="24"/>
      <c r="M17" s="22" t="s">
        <v>61</v>
      </c>
      <c r="N17" s="12">
        <f>vlookup(H17,data_summary_by_question!U2:V7,2, FALSE)</f>
        <v>0</v>
      </c>
      <c r="P17" s="12">
        <f>H17</f>
        <v>0</v>
      </c>
    </row>
    <row r="18" spans="1:16" ht="48" customHeight="1">
      <c r="A18" s="25" t="s">
        <v>67</v>
      </c>
      <c r="B18" s="25"/>
      <c r="C18" s="25"/>
      <c r="D18" s="25"/>
      <c r="E18" s="25"/>
      <c r="F18" s="25"/>
      <c r="G18" s="25"/>
      <c r="H18" s="26" t="s">
        <v>51</v>
      </c>
      <c r="I18" s="26"/>
      <c r="J18" s="26"/>
      <c r="K18" s="26"/>
      <c r="M18" s="26" t="s">
        <v>68</v>
      </c>
    </row>
    <row r="20" spans="1:16" ht="48" customHeight="1">
      <c r="A20" s="21" t="s">
        <v>175</v>
      </c>
      <c r="B20" s="21"/>
      <c r="C20" s="21"/>
      <c r="D20" s="21"/>
      <c r="E20" s="21"/>
      <c r="F20" s="21"/>
      <c r="G20" s="21"/>
      <c r="H20" s="20" t="s">
        <v>58</v>
      </c>
      <c r="I20" s="20"/>
      <c r="J20" s="20"/>
      <c r="K20" s="20"/>
      <c r="M20" s="22" t="s">
        <v>59</v>
      </c>
    </row>
    <row r="21" spans="1:16" ht="48" customHeight="1">
      <c r="A21" s="23" t="s">
        <v>176</v>
      </c>
      <c r="B21" s="23"/>
      <c r="C21" s="23"/>
      <c r="D21" s="23"/>
      <c r="E21" s="23"/>
      <c r="F21" s="23"/>
      <c r="G21" s="23"/>
      <c r="H21" s="24" t="s">
        <v>51</v>
      </c>
      <c r="I21" s="24"/>
      <c r="J21" s="24"/>
      <c r="K21" s="24"/>
      <c r="M21" s="22" t="s">
        <v>61</v>
      </c>
      <c r="N21" s="12">
        <f>vlookup(H21,data_summary_by_question!U2:V7,2, FALSE)</f>
        <v>0</v>
      </c>
      <c r="O21" s="12">
        <f>average(N21:N22)</f>
        <v>0</v>
      </c>
      <c r="P21" s="12">
        <f>H21</f>
        <v>0</v>
      </c>
    </row>
    <row r="22" spans="1:16" ht="48" customHeight="1">
      <c r="A22" s="23" t="s">
        <v>177</v>
      </c>
      <c r="B22" s="23"/>
      <c r="C22" s="23"/>
      <c r="D22" s="23"/>
      <c r="E22" s="23"/>
      <c r="F22" s="23"/>
      <c r="G22" s="23"/>
      <c r="H22" s="24" t="s">
        <v>51</v>
      </c>
      <c r="I22" s="24"/>
      <c r="J22" s="24"/>
      <c r="K22" s="24"/>
      <c r="M22" s="22" t="s">
        <v>61</v>
      </c>
      <c r="N22" s="12">
        <f>vlookup(H22,data_summary_by_question!U2:V7,2, FALSE)</f>
        <v>0</v>
      </c>
      <c r="P22" s="12">
        <f>H22</f>
        <v>0</v>
      </c>
    </row>
    <row r="23" spans="1:16" ht="48" customHeight="1">
      <c r="A23" s="25" t="s">
        <v>67</v>
      </c>
      <c r="B23" s="25"/>
      <c r="C23" s="25"/>
      <c r="D23" s="25"/>
      <c r="E23" s="25"/>
      <c r="F23" s="25"/>
      <c r="G23" s="25"/>
      <c r="H23" s="26" t="s">
        <v>51</v>
      </c>
      <c r="I23" s="26"/>
      <c r="J23" s="26"/>
      <c r="K23" s="26"/>
      <c r="M23" s="26" t="s">
        <v>68</v>
      </c>
    </row>
    <row r="25" spans="1:16" ht="48" customHeight="1">
      <c r="A25" s="21" t="s">
        <v>178</v>
      </c>
      <c r="B25" s="21"/>
      <c r="C25" s="21"/>
      <c r="D25" s="21"/>
      <c r="E25" s="21"/>
      <c r="F25" s="21"/>
      <c r="G25" s="21"/>
      <c r="H25" s="20" t="s">
        <v>58</v>
      </c>
      <c r="I25" s="20"/>
      <c r="J25" s="20"/>
      <c r="K25" s="20"/>
      <c r="M25" s="22" t="s">
        <v>59</v>
      </c>
    </row>
    <row r="26" spans="1:16" ht="48" customHeight="1">
      <c r="A26" s="23" t="s">
        <v>179</v>
      </c>
      <c r="B26" s="23"/>
      <c r="C26" s="23"/>
      <c r="D26" s="23"/>
      <c r="E26" s="23"/>
      <c r="F26" s="23"/>
      <c r="G26" s="23"/>
      <c r="H26" s="24" t="s">
        <v>51</v>
      </c>
      <c r="I26" s="24"/>
      <c r="J26" s="24"/>
      <c r="K26" s="24"/>
      <c r="M26" s="22" t="s">
        <v>61</v>
      </c>
      <c r="N26" s="12">
        <f>vlookup(H26,data_summary_by_question!U2:V7,2, FALSE)</f>
        <v>0</v>
      </c>
      <c r="O26" s="12">
        <f>average(N26:N28)</f>
        <v>0</v>
      </c>
      <c r="P26" s="12">
        <f>H26</f>
        <v>0</v>
      </c>
    </row>
    <row r="27" spans="1:16" ht="48" customHeight="1">
      <c r="A27" s="23" t="s">
        <v>180</v>
      </c>
      <c r="B27" s="23"/>
      <c r="C27" s="23"/>
      <c r="D27" s="23"/>
      <c r="E27" s="23"/>
      <c r="F27" s="23"/>
      <c r="G27" s="23"/>
      <c r="H27" s="24" t="s">
        <v>51</v>
      </c>
      <c r="I27" s="24"/>
      <c r="J27" s="24"/>
      <c r="K27" s="24"/>
      <c r="M27" s="22" t="s">
        <v>61</v>
      </c>
      <c r="N27" s="12">
        <f>vlookup(H27,data_summary_by_question!U2:V7,2, FALSE)</f>
        <v>0</v>
      </c>
      <c r="P27" s="12">
        <f>H27</f>
        <v>0</v>
      </c>
    </row>
    <row r="28" spans="1:16" ht="48" customHeight="1">
      <c r="A28" s="23" t="s">
        <v>181</v>
      </c>
      <c r="B28" s="23"/>
      <c r="C28" s="23"/>
      <c r="D28" s="23"/>
      <c r="E28" s="23"/>
      <c r="F28" s="23"/>
      <c r="G28" s="23"/>
      <c r="H28" s="24" t="s">
        <v>51</v>
      </c>
      <c r="I28" s="24"/>
      <c r="J28" s="24"/>
      <c r="K28" s="24"/>
      <c r="M28" s="22" t="s">
        <v>61</v>
      </c>
      <c r="N28" s="12">
        <f>vlookup(H28,data_summary_by_question!U2:V7,2, FALSE)</f>
        <v>0</v>
      </c>
      <c r="P28" s="12">
        <f>H28</f>
        <v>0</v>
      </c>
    </row>
    <row r="29" spans="1:16" ht="48" customHeight="1">
      <c r="A29" s="25" t="s">
        <v>67</v>
      </c>
      <c r="B29" s="25"/>
      <c r="C29" s="25"/>
      <c r="D29" s="25"/>
      <c r="E29" s="25"/>
      <c r="F29" s="25"/>
      <c r="G29" s="25"/>
      <c r="H29" s="26" t="s">
        <v>51</v>
      </c>
      <c r="I29" s="26"/>
      <c r="J29" s="26"/>
      <c r="K29" s="26"/>
      <c r="M29" s="26" t="s">
        <v>68</v>
      </c>
    </row>
    <row r="31" spans="1:16" ht="48" customHeight="1">
      <c r="A31" s="21" t="s">
        <v>182</v>
      </c>
      <c r="B31" s="21"/>
      <c r="C31" s="21"/>
      <c r="D31" s="21"/>
      <c r="E31" s="21"/>
      <c r="F31" s="21"/>
      <c r="G31" s="21"/>
      <c r="H31" s="20" t="s">
        <v>58</v>
      </c>
      <c r="I31" s="20"/>
      <c r="J31" s="20"/>
      <c r="K31" s="20"/>
      <c r="M31" s="22" t="s">
        <v>59</v>
      </c>
    </row>
    <row r="32" spans="1:16" ht="48" customHeight="1">
      <c r="A32" s="23" t="s">
        <v>183</v>
      </c>
      <c r="B32" s="23"/>
      <c r="C32" s="23"/>
      <c r="D32" s="23"/>
      <c r="E32" s="23"/>
      <c r="F32" s="23"/>
      <c r="G32" s="23"/>
      <c r="H32" s="24" t="s">
        <v>51</v>
      </c>
      <c r="I32" s="24"/>
      <c r="J32" s="24"/>
      <c r="K32" s="24"/>
      <c r="M32" s="22" t="s">
        <v>61</v>
      </c>
      <c r="N32" s="12">
        <f>vlookup(H32,data_summary_by_question!U2:V7,2, FALSE)</f>
        <v>0</v>
      </c>
      <c r="O32" s="12">
        <f>average(N32:N34)</f>
        <v>0</v>
      </c>
      <c r="P32" s="12">
        <f>H32</f>
        <v>0</v>
      </c>
    </row>
    <row r="33" spans="1:16" ht="48" customHeight="1">
      <c r="A33" s="23" t="s">
        <v>184</v>
      </c>
      <c r="B33" s="23"/>
      <c r="C33" s="23"/>
      <c r="D33" s="23"/>
      <c r="E33" s="23"/>
      <c r="F33" s="23"/>
      <c r="G33" s="23"/>
      <c r="H33" s="24" t="s">
        <v>51</v>
      </c>
      <c r="I33" s="24"/>
      <c r="J33" s="24"/>
      <c r="K33" s="24"/>
      <c r="M33" s="22" t="s">
        <v>61</v>
      </c>
      <c r="N33" s="12">
        <f>vlookup(H33,data_summary_by_question!U2:V7,2, FALSE)</f>
        <v>0</v>
      </c>
      <c r="P33" s="12">
        <f>H33</f>
        <v>0</v>
      </c>
    </row>
    <row r="34" spans="1:16" ht="48" customHeight="1">
      <c r="A34" s="23" t="s">
        <v>185</v>
      </c>
      <c r="B34" s="23"/>
      <c r="C34" s="23"/>
      <c r="D34" s="23"/>
      <c r="E34" s="23"/>
      <c r="F34" s="23"/>
      <c r="G34" s="23"/>
      <c r="H34" s="24" t="s">
        <v>51</v>
      </c>
      <c r="I34" s="24"/>
      <c r="J34" s="24"/>
      <c r="K34" s="24"/>
      <c r="M34" s="22" t="s">
        <v>61</v>
      </c>
      <c r="N34" s="12">
        <f>vlookup(H34,data_summary_by_question!U2:V7,2, FALSE)</f>
        <v>0</v>
      </c>
      <c r="P34" s="12">
        <f>H34</f>
        <v>0</v>
      </c>
    </row>
    <row r="35" spans="1:16" ht="48" customHeight="1">
      <c r="A35" s="25" t="s">
        <v>67</v>
      </c>
      <c r="B35" s="25"/>
      <c r="C35" s="25"/>
      <c r="D35" s="25"/>
      <c r="E35" s="25"/>
      <c r="F35" s="25"/>
      <c r="G35" s="25"/>
      <c r="H35" s="26" t="s">
        <v>51</v>
      </c>
      <c r="I35" s="26"/>
      <c r="J35" s="26"/>
      <c r="K35" s="26"/>
      <c r="M35" s="26" t="s">
        <v>68</v>
      </c>
    </row>
    <row r="37" spans="1:16" ht="48" customHeight="1">
      <c r="A37" s="21" t="s">
        <v>186</v>
      </c>
      <c r="B37" s="21"/>
      <c r="C37" s="21"/>
      <c r="D37" s="21"/>
      <c r="E37" s="21"/>
      <c r="F37" s="21"/>
      <c r="G37" s="21"/>
      <c r="H37" s="20" t="s">
        <v>58</v>
      </c>
      <c r="I37" s="20"/>
      <c r="J37" s="20"/>
      <c r="K37" s="20"/>
      <c r="M37" s="22" t="s">
        <v>59</v>
      </c>
    </row>
    <row r="38" spans="1:16" ht="48" customHeight="1">
      <c r="A38" s="23" t="s">
        <v>187</v>
      </c>
      <c r="B38" s="23"/>
      <c r="C38" s="23"/>
      <c r="D38" s="23"/>
      <c r="E38" s="23"/>
      <c r="F38" s="23"/>
      <c r="G38" s="23"/>
      <c r="H38" s="24" t="s">
        <v>51</v>
      </c>
      <c r="I38" s="24"/>
      <c r="J38" s="24"/>
      <c r="K38" s="24"/>
      <c r="M38" s="22" t="s">
        <v>61</v>
      </c>
      <c r="N38" s="12">
        <f>vlookup(H38,data_summary_by_question!U2:V7,2, FALSE)</f>
        <v>0</v>
      </c>
      <c r="O38" s="12">
        <f>average(N38:N39)</f>
        <v>0</v>
      </c>
      <c r="P38" s="12">
        <f>H38</f>
        <v>0</v>
      </c>
    </row>
    <row r="39" spans="1:16" ht="48" customHeight="1">
      <c r="A39" s="23" t="s">
        <v>188</v>
      </c>
      <c r="B39" s="23"/>
      <c r="C39" s="23"/>
      <c r="D39" s="23"/>
      <c r="E39" s="23"/>
      <c r="F39" s="23"/>
      <c r="G39" s="23"/>
      <c r="H39" s="24" t="s">
        <v>51</v>
      </c>
      <c r="I39" s="24"/>
      <c r="J39" s="24"/>
      <c r="K39" s="24"/>
      <c r="M39" s="22" t="s">
        <v>61</v>
      </c>
      <c r="N39" s="12">
        <f>vlookup(H39,data_summary_by_question!U2:V7,2, FALSE)</f>
        <v>0</v>
      </c>
      <c r="P39" s="12">
        <f>H39</f>
        <v>0</v>
      </c>
    </row>
    <row r="40" spans="1:16" ht="48" customHeight="1">
      <c r="A40" s="25" t="s">
        <v>67</v>
      </c>
      <c r="B40" s="25"/>
      <c r="C40" s="25"/>
      <c r="D40" s="25"/>
      <c r="E40" s="25"/>
      <c r="F40" s="25"/>
      <c r="G40" s="25"/>
      <c r="H40" s="26" t="s">
        <v>51</v>
      </c>
      <c r="I40" s="26"/>
      <c r="J40" s="26"/>
      <c r="K40" s="26"/>
      <c r="M40" s="26" t="s">
        <v>68</v>
      </c>
    </row>
    <row r="42" spans="1:16" ht="48" customHeight="1">
      <c r="A42" s="21" t="s">
        <v>189</v>
      </c>
      <c r="B42" s="21"/>
      <c r="C42" s="21"/>
      <c r="D42" s="21"/>
      <c r="E42" s="21"/>
      <c r="F42" s="21"/>
      <c r="G42" s="21"/>
      <c r="H42" s="20" t="s">
        <v>58</v>
      </c>
      <c r="I42" s="20"/>
      <c r="J42" s="20"/>
      <c r="K42" s="20"/>
      <c r="M42" s="22" t="s">
        <v>59</v>
      </c>
    </row>
    <row r="43" spans="1:16" ht="48" customHeight="1">
      <c r="A43" s="23" t="s">
        <v>190</v>
      </c>
      <c r="B43" s="23"/>
      <c r="C43" s="23"/>
      <c r="D43" s="23"/>
      <c r="E43" s="23"/>
      <c r="F43" s="23"/>
      <c r="G43" s="23"/>
      <c r="H43" s="24" t="s">
        <v>51</v>
      </c>
      <c r="I43" s="24"/>
      <c r="J43" s="24"/>
      <c r="K43" s="24"/>
      <c r="M43" s="22" t="s">
        <v>61</v>
      </c>
      <c r="N43" s="12">
        <f>vlookup(H43,data_summary_by_question!U2:V7,2, FALSE)</f>
        <v>0</v>
      </c>
      <c r="O43" s="12">
        <f>average(N43:N44)</f>
        <v>0</v>
      </c>
      <c r="P43" s="12">
        <f>H43</f>
        <v>0</v>
      </c>
    </row>
    <row r="44" spans="1:16" ht="48" customHeight="1">
      <c r="A44" s="23" t="s">
        <v>191</v>
      </c>
      <c r="B44" s="23"/>
      <c r="C44" s="23"/>
      <c r="D44" s="23"/>
      <c r="E44" s="23"/>
      <c r="F44" s="23"/>
      <c r="G44" s="23"/>
      <c r="H44" s="24" t="s">
        <v>51</v>
      </c>
      <c r="I44" s="24"/>
      <c r="J44" s="24"/>
      <c r="K44" s="24"/>
      <c r="M44" s="22" t="s">
        <v>61</v>
      </c>
      <c r="N44" s="12">
        <f>vlookup(H44,data_summary_by_question!U2:V7,2, FALSE)</f>
        <v>0</v>
      </c>
      <c r="P44" s="12">
        <f>H44</f>
        <v>0</v>
      </c>
    </row>
    <row r="45" spans="1:16" ht="48" customHeight="1">
      <c r="A45" s="25" t="s">
        <v>67</v>
      </c>
      <c r="B45" s="25"/>
      <c r="C45" s="25"/>
      <c r="D45" s="25"/>
      <c r="E45" s="25"/>
      <c r="F45" s="25"/>
      <c r="G45" s="25"/>
      <c r="H45" s="26" t="s">
        <v>51</v>
      </c>
      <c r="I45" s="26"/>
      <c r="J45" s="26"/>
      <c r="K45" s="26"/>
      <c r="M45" s="26" t="s">
        <v>68</v>
      </c>
    </row>
    <row r="47" spans="1:16" ht="48" customHeight="1">
      <c r="A47" s="21" t="s">
        <v>192</v>
      </c>
      <c r="B47" s="21"/>
      <c r="C47" s="21"/>
      <c r="D47" s="21"/>
      <c r="E47" s="21"/>
      <c r="F47" s="21"/>
      <c r="G47" s="21"/>
      <c r="H47" s="20" t="s">
        <v>58</v>
      </c>
      <c r="I47" s="20"/>
      <c r="J47" s="20"/>
      <c r="K47" s="20"/>
      <c r="M47" s="22" t="s">
        <v>59</v>
      </c>
    </row>
    <row r="48" spans="1:16" ht="48" customHeight="1">
      <c r="A48" s="23" t="s">
        <v>193</v>
      </c>
      <c r="B48" s="23"/>
      <c r="C48" s="23"/>
      <c r="D48" s="23"/>
      <c r="E48" s="23"/>
      <c r="F48" s="23"/>
      <c r="G48" s="23"/>
      <c r="H48" s="24" t="s">
        <v>51</v>
      </c>
      <c r="I48" s="24"/>
      <c r="J48" s="24"/>
      <c r="K48" s="24"/>
      <c r="M48" s="22" t="s">
        <v>61</v>
      </c>
      <c r="N48" s="12">
        <f>vlookup(H48,data_summary_by_question!U2:V7,2, FALSE)</f>
        <v>0</v>
      </c>
      <c r="O48" s="12">
        <f>average(N48:N50)</f>
        <v>0</v>
      </c>
      <c r="P48" s="12">
        <f>H48</f>
        <v>0</v>
      </c>
    </row>
    <row r="49" spans="1:16" ht="48" customHeight="1">
      <c r="A49" s="23" t="s">
        <v>194</v>
      </c>
      <c r="B49" s="23"/>
      <c r="C49" s="23"/>
      <c r="D49" s="23"/>
      <c r="E49" s="23"/>
      <c r="F49" s="23"/>
      <c r="G49" s="23"/>
      <c r="H49" s="24" t="s">
        <v>51</v>
      </c>
      <c r="I49" s="24"/>
      <c r="J49" s="24"/>
      <c r="K49" s="24"/>
      <c r="M49" s="22" t="s">
        <v>61</v>
      </c>
      <c r="N49" s="12">
        <f>vlookup(H49,data_summary_by_question!U2:V7,2, FALSE)</f>
        <v>0</v>
      </c>
      <c r="P49" s="12">
        <f>H49</f>
        <v>0</v>
      </c>
    </row>
    <row r="50" spans="1:16" ht="48" customHeight="1">
      <c r="A50" s="23" t="s">
        <v>195</v>
      </c>
      <c r="B50" s="23"/>
      <c r="C50" s="23"/>
      <c r="D50" s="23"/>
      <c r="E50" s="23"/>
      <c r="F50" s="23"/>
      <c r="G50" s="23"/>
      <c r="H50" s="24" t="s">
        <v>51</v>
      </c>
      <c r="I50" s="24"/>
      <c r="J50" s="24"/>
      <c r="K50" s="24"/>
      <c r="M50" s="22" t="s">
        <v>61</v>
      </c>
      <c r="N50" s="12">
        <f>vlookup(H50,data_summary_by_question!U2:V7,2, FALSE)</f>
        <v>0</v>
      </c>
      <c r="P50" s="12">
        <f>H50</f>
        <v>0</v>
      </c>
    </row>
    <row r="51" spans="1:16" ht="48" customHeight="1">
      <c r="A51" s="25" t="s">
        <v>67</v>
      </c>
      <c r="B51" s="25"/>
      <c r="C51" s="25"/>
      <c r="D51" s="25"/>
      <c r="E51" s="25"/>
      <c r="F51" s="25"/>
      <c r="G51" s="25"/>
      <c r="H51" s="26" t="s">
        <v>51</v>
      </c>
      <c r="I51" s="26"/>
      <c r="J51" s="26"/>
      <c r="K51" s="26"/>
      <c r="M51" s="26" t="s">
        <v>68</v>
      </c>
    </row>
    <row r="53" spans="1:16" ht="48" customHeight="1">
      <c r="A53" s="21" t="s">
        <v>196</v>
      </c>
      <c r="B53" s="21"/>
      <c r="C53" s="21"/>
      <c r="D53" s="21"/>
      <c r="E53" s="21"/>
      <c r="F53" s="21"/>
      <c r="G53" s="21"/>
      <c r="H53" s="20" t="s">
        <v>58</v>
      </c>
      <c r="I53" s="20"/>
      <c r="J53" s="20"/>
      <c r="K53" s="20"/>
      <c r="M53" s="22" t="s">
        <v>59</v>
      </c>
    </row>
    <row r="54" spans="1:16" ht="48" customHeight="1">
      <c r="A54" s="23" t="s">
        <v>197</v>
      </c>
      <c r="B54" s="23"/>
      <c r="C54" s="23"/>
      <c r="D54" s="23"/>
      <c r="E54" s="23"/>
      <c r="F54" s="23"/>
      <c r="G54" s="23"/>
      <c r="H54" s="24" t="s">
        <v>51</v>
      </c>
      <c r="I54" s="24"/>
      <c r="J54" s="24"/>
      <c r="K54" s="24"/>
      <c r="M54" s="22" t="s">
        <v>61</v>
      </c>
      <c r="N54" s="12">
        <f>vlookup(H54,data_summary_by_question!U2:V7,2, FALSE)</f>
        <v>0</v>
      </c>
      <c r="O54" s="12">
        <f>average(N54:N59)</f>
        <v>0</v>
      </c>
      <c r="P54" s="12">
        <f>H54</f>
        <v>0</v>
      </c>
    </row>
    <row r="55" spans="1:16" ht="48" customHeight="1">
      <c r="A55" s="23" t="s">
        <v>198</v>
      </c>
      <c r="B55" s="23"/>
      <c r="C55" s="23"/>
      <c r="D55" s="23"/>
      <c r="E55" s="23"/>
      <c r="F55" s="23"/>
      <c r="G55" s="23"/>
      <c r="H55" s="24" t="s">
        <v>51</v>
      </c>
      <c r="I55" s="24"/>
      <c r="J55" s="24"/>
      <c r="K55" s="24"/>
      <c r="M55" s="22" t="s">
        <v>61</v>
      </c>
      <c r="N55" s="12">
        <f>vlookup(H55,data_summary_by_question!U2:V7,2, FALSE)</f>
        <v>0</v>
      </c>
      <c r="P55" s="12">
        <f>H55</f>
        <v>0</v>
      </c>
    </row>
    <row r="56" spans="1:16" ht="48" customHeight="1">
      <c r="A56" s="23" t="s">
        <v>199</v>
      </c>
      <c r="B56" s="23"/>
      <c r="C56" s="23"/>
      <c r="D56" s="23"/>
      <c r="E56" s="23"/>
      <c r="F56" s="23"/>
      <c r="G56" s="23"/>
      <c r="H56" s="24" t="s">
        <v>51</v>
      </c>
      <c r="I56" s="24"/>
      <c r="J56" s="24"/>
      <c r="K56" s="24"/>
      <c r="M56" s="22" t="s">
        <v>61</v>
      </c>
      <c r="N56" s="12">
        <f>vlookup(H56,data_summary_by_question!U2:V7,2, FALSE)</f>
        <v>0</v>
      </c>
      <c r="P56" s="12">
        <f>H56</f>
        <v>0</v>
      </c>
    </row>
    <row r="57" spans="1:16" ht="48" customHeight="1">
      <c r="A57" s="23" t="s">
        <v>200</v>
      </c>
      <c r="B57" s="23"/>
      <c r="C57" s="23"/>
      <c r="D57" s="23"/>
      <c r="E57" s="23"/>
      <c r="F57" s="23"/>
      <c r="G57" s="23"/>
      <c r="H57" s="24" t="s">
        <v>51</v>
      </c>
      <c r="I57" s="24"/>
      <c r="J57" s="24"/>
      <c r="K57" s="24"/>
      <c r="M57" s="22" t="s">
        <v>61</v>
      </c>
      <c r="N57" s="12">
        <f>vlookup(H57,data_summary_by_question!U2:V7,2, FALSE)</f>
        <v>0</v>
      </c>
      <c r="P57" s="12">
        <f>H57</f>
        <v>0</v>
      </c>
    </row>
    <row r="58" spans="1:16" ht="48" customHeight="1">
      <c r="A58" s="23" t="s">
        <v>201</v>
      </c>
      <c r="B58" s="23"/>
      <c r="C58" s="23"/>
      <c r="D58" s="23"/>
      <c r="E58" s="23"/>
      <c r="F58" s="23"/>
      <c r="G58" s="23"/>
      <c r="H58" s="24" t="s">
        <v>51</v>
      </c>
      <c r="I58" s="24"/>
      <c r="J58" s="24"/>
      <c r="K58" s="24"/>
      <c r="M58" s="22" t="s">
        <v>61</v>
      </c>
      <c r="N58" s="12">
        <f>vlookup(H58,data_summary_by_question!U2:V7,2, FALSE)</f>
        <v>0</v>
      </c>
      <c r="P58" s="12">
        <f>H58</f>
        <v>0</v>
      </c>
    </row>
    <row r="59" spans="1:16" ht="48" customHeight="1">
      <c r="A59" s="23" t="s">
        <v>202</v>
      </c>
      <c r="B59" s="23"/>
      <c r="C59" s="23"/>
      <c r="D59" s="23"/>
      <c r="E59" s="23"/>
      <c r="F59" s="23"/>
      <c r="G59" s="23"/>
      <c r="H59" s="24" t="s">
        <v>51</v>
      </c>
      <c r="I59" s="24"/>
      <c r="J59" s="24"/>
      <c r="K59" s="24"/>
      <c r="M59" s="22" t="s">
        <v>61</v>
      </c>
      <c r="N59" s="12">
        <f>vlookup(H59,data_summary_by_question!U2:V7,2, FALSE)</f>
        <v>0</v>
      </c>
      <c r="P59" s="12">
        <f>H59</f>
        <v>0</v>
      </c>
    </row>
    <row r="60" spans="1:16" ht="48" customHeight="1">
      <c r="A60" s="25" t="s">
        <v>67</v>
      </c>
      <c r="B60" s="25"/>
      <c r="C60" s="25"/>
      <c r="D60" s="25"/>
      <c r="E60" s="25"/>
      <c r="F60" s="25"/>
      <c r="G60" s="25"/>
      <c r="H60" s="26" t="s">
        <v>51</v>
      </c>
      <c r="I60" s="26"/>
      <c r="J60" s="26"/>
      <c r="K60" s="26"/>
      <c r="M60" s="26" t="s">
        <v>68</v>
      </c>
    </row>
    <row r="62" spans="1:16" ht="48" customHeight="1">
      <c r="A62" s="21" t="s">
        <v>203</v>
      </c>
      <c r="B62" s="21"/>
      <c r="C62" s="21"/>
      <c r="D62" s="21"/>
      <c r="E62" s="21"/>
      <c r="F62" s="21"/>
      <c r="G62" s="21"/>
      <c r="H62" s="20" t="s">
        <v>58</v>
      </c>
      <c r="I62" s="20"/>
      <c r="J62" s="20"/>
      <c r="K62" s="20"/>
      <c r="M62" s="22" t="s">
        <v>59</v>
      </c>
    </row>
    <row r="63" spans="1:16" ht="48" customHeight="1">
      <c r="A63" s="23" t="s">
        <v>204</v>
      </c>
      <c r="B63" s="23"/>
      <c r="C63" s="23"/>
      <c r="D63" s="23"/>
      <c r="E63" s="23"/>
      <c r="F63" s="23"/>
      <c r="G63" s="23"/>
      <c r="H63" s="24" t="s">
        <v>51</v>
      </c>
      <c r="I63" s="24"/>
      <c r="J63" s="24"/>
      <c r="K63" s="24"/>
      <c r="M63" s="22" t="s">
        <v>61</v>
      </c>
      <c r="N63" s="12">
        <f>vlookup(H63,data_summary_by_question!U2:V7,2, FALSE)</f>
        <v>0</v>
      </c>
      <c r="O63" s="12">
        <f>average(N63:N64)</f>
        <v>0</v>
      </c>
      <c r="P63" s="12">
        <f>H63</f>
        <v>0</v>
      </c>
    </row>
    <row r="64" spans="1:16" ht="48" customHeight="1">
      <c r="A64" s="23" t="s">
        <v>205</v>
      </c>
      <c r="B64" s="23"/>
      <c r="C64" s="23"/>
      <c r="D64" s="23"/>
      <c r="E64" s="23"/>
      <c r="F64" s="23"/>
      <c r="G64" s="23"/>
      <c r="H64" s="24" t="s">
        <v>51</v>
      </c>
      <c r="I64" s="24"/>
      <c r="J64" s="24"/>
      <c r="K64" s="24"/>
      <c r="M64" s="22" t="s">
        <v>61</v>
      </c>
      <c r="N64" s="12">
        <f>vlookup(H64,data_summary_by_question!U2:V7,2, FALSE)</f>
        <v>0</v>
      </c>
      <c r="P64" s="12">
        <f>H64</f>
        <v>0</v>
      </c>
    </row>
    <row r="65" spans="1:13" ht="48" customHeight="1">
      <c r="A65" s="25" t="s">
        <v>67</v>
      </c>
      <c r="B65" s="25"/>
      <c r="C65" s="25"/>
      <c r="D65" s="25"/>
      <c r="E65" s="25"/>
      <c r="F65" s="25"/>
      <c r="G65" s="25"/>
      <c r="H65" s="26" t="s">
        <v>51</v>
      </c>
      <c r="I65" s="26"/>
      <c r="J65" s="26"/>
      <c r="K65" s="26"/>
      <c r="M65" s="26" t="s">
        <v>68</v>
      </c>
    </row>
    <row r="68" spans="1:13" ht="48" customHeight="1">
      <c r="A68" s="25" t="s">
        <v>154</v>
      </c>
      <c r="B68" s="25"/>
      <c r="C68" s="25"/>
      <c r="D68" s="25"/>
      <c r="E68" s="25"/>
      <c r="F68" s="25"/>
      <c r="G68" s="25"/>
      <c r="H68" s="26" t="s">
        <v>51</v>
      </c>
      <c r="I68" s="26"/>
      <c r="J68" s="26"/>
      <c r="K68" s="26"/>
      <c r="M68" s="26" t="s">
        <v>61</v>
      </c>
    </row>
    <row r="70" spans="1:13" ht="48" customHeight="1">
      <c r="A70" s="25" t="s">
        <v>155</v>
      </c>
      <c r="B70" s="25"/>
      <c r="C70" s="25"/>
      <c r="D70" s="25"/>
      <c r="E70" s="25"/>
      <c r="F70" s="25"/>
      <c r="G70" s="25"/>
      <c r="H70" s="26" t="s">
        <v>51</v>
      </c>
      <c r="I70" s="26"/>
      <c r="J70" s="26"/>
      <c r="K70" s="26"/>
      <c r="M70" s="26" t="s">
        <v>61</v>
      </c>
    </row>
    <row r="72" spans="1:13" ht="48" customHeight="1">
      <c r="A72" s="25" t="s">
        <v>156</v>
      </c>
      <c r="B72" s="25"/>
      <c r="C72" s="25"/>
      <c r="D72" s="25"/>
      <c r="E72" s="25"/>
      <c r="F72" s="25"/>
      <c r="G72" s="25"/>
      <c r="H72" s="26" t="s">
        <v>51</v>
      </c>
      <c r="I72" s="26"/>
      <c r="J72" s="26"/>
      <c r="K72" s="26"/>
      <c r="M72" s="26" t="s">
        <v>61</v>
      </c>
    </row>
    <row r="76" spans="1:13" s="12" customFormat="1">
      <c r="A76" s="12" t="s">
        <v>157</v>
      </c>
      <c r="B76" s="12" t="s">
        <v>158</v>
      </c>
      <c r="C76" s="12" t="s">
        <v>159</v>
      </c>
    </row>
    <row r="77" spans="1:13" s="12" customFormat="1">
      <c r="A77" s="12" t="s">
        <v>46</v>
      </c>
      <c r="B77" s="12">
        <f>COUNTIF(P12:P65,A77)</f>
        <v>0</v>
      </c>
      <c r="C77" s="12">
        <f>B77/ B84</f>
        <v>0</v>
      </c>
    </row>
    <row r="78" spans="1:13" s="12" customFormat="1">
      <c r="A78" s="12" t="s">
        <v>47</v>
      </c>
      <c r="B78" s="12">
        <f>COUNTIF(P12:P65,A78)</f>
        <v>0</v>
      </c>
      <c r="C78" s="12">
        <f>B78/ B84</f>
        <v>0</v>
      </c>
    </row>
    <row r="79" spans="1:13" s="12" customFormat="1">
      <c r="A79" s="12" t="s">
        <v>48</v>
      </c>
      <c r="B79" s="12">
        <f>COUNTIF(P12:P65,A79)</f>
        <v>0</v>
      </c>
      <c r="C79" s="12">
        <f>B79/ B84</f>
        <v>0</v>
      </c>
    </row>
    <row r="80" spans="1:13" s="12" customFormat="1">
      <c r="A80" s="12" t="s">
        <v>49</v>
      </c>
      <c r="B80" s="12">
        <f>COUNTIF(P12:P65,A80)</f>
        <v>0</v>
      </c>
      <c r="C80" s="12">
        <f>B80/ B84</f>
        <v>0</v>
      </c>
    </row>
    <row r="81" spans="1:3" s="12" customFormat="1">
      <c r="A81" s="12" t="s">
        <v>50</v>
      </c>
      <c r="B81" s="12">
        <f>COUNTIF(P12:P65,A81)</f>
        <v>0</v>
      </c>
      <c r="C81" s="12">
        <f>B81/ B84</f>
        <v>0</v>
      </c>
    </row>
    <row r="82" spans="1:3" s="12" customFormat="1">
      <c r="A82" s="12" t="s">
        <v>51</v>
      </c>
      <c r="B82" s="12">
        <f>COUNTIF(P12:P65,A82)</f>
        <v>0</v>
      </c>
      <c r="C82" s="12">
        <f>B82/ B84</f>
        <v>0</v>
      </c>
    </row>
    <row r="83" spans="1:3" s="12" customFormat="1"/>
    <row r="84" spans="1:3" s="12" customFormat="1">
      <c r="A84" s="12" t="s">
        <v>160</v>
      </c>
      <c r="B84" s="12">
        <f>SUM(B77:B82)</f>
        <v>0</v>
      </c>
    </row>
    <row r="85" spans="1:3" s="12" customFormat="1"/>
    <row r="86" spans="1:3" s="12" customFormat="1">
      <c r="A86" s="12" t="s">
        <v>161</v>
      </c>
    </row>
    <row r="87" spans="1:3" s="12" customFormat="1">
      <c r="A87" s="12" t="s">
        <v>162</v>
      </c>
      <c r="B87" s="12">
        <f>countifs(O12:O65,"&gt;=1.0", O12:O65,"&lt;=1.0")</f>
        <v>0</v>
      </c>
    </row>
    <row r="88" spans="1:3" s="12" customFormat="1">
      <c r="A88" s="12" t="s">
        <v>163</v>
      </c>
      <c r="B88" s="12">
        <f>countifs(O12:O65,"&gt;=0.75", O12:O65,"&lt;=0.99")</f>
        <v>0</v>
      </c>
    </row>
    <row r="89" spans="1:3" s="12" customFormat="1">
      <c r="A89" s="12" t="s">
        <v>164</v>
      </c>
      <c r="B89" s="12">
        <f>countifs(O12:O65,"&gt;=0.5", O12:O65,"&lt;=0.74")</f>
        <v>0</v>
      </c>
    </row>
    <row r="90" spans="1:3" s="12" customFormat="1">
      <c r="A90" s="12" t="s">
        <v>165</v>
      </c>
      <c r="B90" s="12">
        <f>countifs(O12:O65,"&gt;=0.25", O12:O65,"&lt;=0.49")</f>
        <v>0</v>
      </c>
    </row>
    <row r="91" spans="1:3" s="12" customFormat="1">
      <c r="A91" s="12" t="s">
        <v>166</v>
      </c>
      <c r="B91" s="12">
        <f>countifs(O12:O65,"&gt;=0.0", O12:O65,"&lt;=0.24")</f>
        <v>0</v>
      </c>
    </row>
    <row r="92" spans="1:3" s="12" customFormat="1"/>
    <row r="93" spans="1:3" s="12" customFormat="1">
      <c r="A93" s="12" t="s">
        <v>160</v>
      </c>
      <c r="B93" s="12">
        <f>SUM(B87:B91)</f>
        <v>0</v>
      </c>
    </row>
  </sheetData>
  <sheetProtection password="E4E4" sheet="1" objects="1" scenarios="1"/>
  <mergeCells count="123">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5:G15"/>
    <mergeCell ref="H15:K15"/>
    <mergeCell ref="A16:G16"/>
    <mergeCell ref="H16:K16"/>
    <mergeCell ref="A17:G17"/>
    <mergeCell ref="H17:K17"/>
    <mergeCell ref="A18:G18"/>
    <mergeCell ref="H18:K18"/>
    <mergeCell ref="A20:G20"/>
    <mergeCell ref="H20:K20"/>
    <mergeCell ref="A21:G21"/>
    <mergeCell ref="H21:K21"/>
    <mergeCell ref="A22:G22"/>
    <mergeCell ref="H22:K22"/>
    <mergeCell ref="A23:G23"/>
    <mergeCell ref="H23:K23"/>
    <mergeCell ref="A25:G25"/>
    <mergeCell ref="H25:K25"/>
    <mergeCell ref="A26:G26"/>
    <mergeCell ref="H26:K26"/>
    <mergeCell ref="A27:G27"/>
    <mergeCell ref="H27:K27"/>
    <mergeCell ref="A28:G28"/>
    <mergeCell ref="H28:K28"/>
    <mergeCell ref="A29:G29"/>
    <mergeCell ref="H29:K29"/>
    <mergeCell ref="A31:G31"/>
    <mergeCell ref="H31:K31"/>
    <mergeCell ref="A32:G32"/>
    <mergeCell ref="H32:K32"/>
    <mergeCell ref="A33:G33"/>
    <mergeCell ref="H33:K33"/>
    <mergeCell ref="A34:G34"/>
    <mergeCell ref="H34:K34"/>
    <mergeCell ref="A35:G35"/>
    <mergeCell ref="H35:K35"/>
    <mergeCell ref="A37:G37"/>
    <mergeCell ref="H37:K37"/>
    <mergeCell ref="A38:G38"/>
    <mergeCell ref="H38:K38"/>
    <mergeCell ref="A39:G39"/>
    <mergeCell ref="H39:K39"/>
    <mergeCell ref="A40:G40"/>
    <mergeCell ref="H40:K40"/>
    <mergeCell ref="A42:G42"/>
    <mergeCell ref="H42:K42"/>
    <mergeCell ref="A43:G43"/>
    <mergeCell ref="H43:K43"/>
    <mergeCell ref="A44:G44"/>
    <mergeCell ref="H44:K44"/>
    <mergeCell ref="A45:G45"/>
    <mergeCell ref="H45:K45"/>
    <mergeCell ref="A47:G47"/>
    <mergeCell ref="H47:K47"/>
    <mergeCell ref="A48:G48"/>
    <mergeCell ref="H48:K48"/>
    <mergeCell ref="A49:G49"/>
    <mergeCell ref="H49:K49"/>
    <mergeCell ref="A50:G50"/>
    <mergeCell ref="H50:K50"/>
    <mergeCell ref="A51:G51"/>
    <mergeCell ref="H51:K51"/>
    <mergeCell ref="A53:G53"/>
    <mergeCell ref="H53:K53"/>
    <mergeCell ref="A54:G54"/>
    <mergeCell ref="H54:K54"/>
    <mergeCell ref="A55:G55"/>
    <mergeCell ref="H55:K55"/>
    <mergeCell ref="A56:G56"/>
    <mergeCell ref="H56:K56"/>
    <mergeCell ref="A57:G57"/>
    <mergeCell ref="H57:K57"/>
    <mergeCell ref="A58:G58"/>
    <mergeCell ref="H58:K58"/>
    <mergeCell ref="A59:G59"/>
    <mergeCell ref="H59:K59"/>
    <mergeCell ref="A60:G60"/>
    <mergeCell ref="H60:K60"/>
    <mergeCell ref="A62:G62"/>
    <mergeCell ref="H62:K62"/>
    <mergeCell ref="A63:G63"/>
    <mergeCell ref="H63:K63"/>
    <mergeCell ref="A64:G64"/>
    <mergeCell ref="H64:K64"/>
    <mergeCell ref="A65:G65"/>
    <mergeCell ref="H65:K65"/>
    <mergeCell ref="A68:G68"/>
    <mergeCell ref="H68:K68"/>
    <mergeCell ref="A70:G70"/>
    <mergeCell ref="H70:K70"/>
    <mergeCell ref="A72:G72"/>
    <mergeCell ref="H72:K72"/>
  </mergeCells>
  <dataValidations count="41">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"Yes,It Does Not Apply,Partially,I Have Done An Alternative Approach,No,No Answer"</formula1>
    </dataValidation>
    <dataValidation type="list" allowBlank="1" showInputMessage="1" showErrorMessage="1" sqref="H15">
      <formula1>"Yes,It Does Not Apply,Partially,I Have Done An Alternative Approach,No,No Answer"</formula1>
    </dataValidation>
    <dataValidation type="list" allowBlank="1" showInputMessage="1" showErrorMessage="1" sqref="H16">
      <formula1>"Yes,It Does Not Apply,Partially,I Have Done An Alternative Approach,No,No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"Completed,Partially Completed,Not Yet Started,No Answer"</formula1>
    </dataValidation>
    <dataValidation type="list" allowBlank="1" showInputMessage="1" showErrorMessage="1" sqref="H21">
      <formula1>"Yes,It Does Not Apply,Partially,I Have Done An Alternative Approach,No,No Answer"</formula1>
    </dataValidation>
    <dataValidation type="list" allowBlank="1" showInputMessage="1" showErrorMessage="1" sqref="H22">
      <formula1>"Yes,It Does Not Apply,Partially,I Have Done An Alternative Approach,No,No Answer"</formula1>
    </dataValidation>
    <dataValidation type="list" allowBlank="1" showInputMessage="1" showErrorMessage="1" sqref="H23">
      <formula1>"Completed,Partially Completed,Not Yet Started,No Answer"</formula1>
    </dataValidation>
    <dataValidation type="list" allowBlank="1" showInputMessage="1" showErrorMessage="1" sqref="H26">
      <formula1>"Yes,It Does Not Apply,Partially,I Have Done An Alternative Approach,No,No Answer"</formula1>
    </dataValidation>
    <dataValidation type="list" allowBlank="1" showInputMessage="1" showErrorMessage="1" sqref="H27">
      <formula1>"Yes,It Does Not Apply,Partially,I Have Done An Alternative Approach,No,No Answer"</formula1>
    </dataValidation>
    <dataValidation type="list" allowBlank="1" showInputMessage="1" showErrorMessage="1" sqref="H28">
      <formula1>"Yes,It Does Not Apply,Partially,I Have Done An Alternative Approach,No,No Answer"</formula1>
    </dataValidation>
    <dataValidation type="list" allowBlank="1" showInputMessage="1" showErrorMessage="1" sqref="H29">
      <formula1>"Completed,Partially Completed,Not Yet Started,No Answer"</formula1>
    </dataValidation>
    <dataValidation type="list" allowBlank="1" showInputMessage="1" showErrorMessage="1" sqref="H32">
      <formula1>"Yes,It Does Not Apply,Partially,I Have Done An Alternative Approach,No,No Answer"</formula1>
    </dataValidation>
    <dataValidation type="list" allowBlank="1" showInputMessage="1" showErrorMessage="1" sqref="H33">
      <formula1>"Yes,It Does Not Apply,Partially,I Have Done An Alternative Approach,No,No Answer"</formula1>
    </dataValidation>
    <dataValidation type="list" allowBlank="1" showInputMessage="1" showErrorMessage="1" sqref="H34">
      <formula1>"Yes,It Does Not Apply,Partially,I Have Done An Alternative Approach,No,No Answer"</formula1>
    </dataValidation>
    <dataValidation type="list" allowBlank="1" showInputMessage="1" showErrorMessage="1" sqref="H35">
      <formula1>"Completed,Partially Completed,Not Yet Started,No Answer"</formula1>
    </dataValidation>
    <dataValidation type="list" allowBlank="1" showInputMessage="1" showErrorMessage="1" sqref="H38">
      <formula1>"Yes,It Does Not Apply,Partially,I Have Done An Alternative Approach,No,No Answer"</formula1>
    </dataValidation>
    <dataValidation type="list" allowBlank="1" showInputMessage="1" showErrorMessage="1" sqref="H39">
      <formula1>"Yes,It Does Not Apply,Partially,I Have Done An Alternative Approach,No,No Answer"</formula1>
    </dataValidation>
    <dataValidation type="list" allowBlank="1" showInputMessage="1" showErrorMessage="1" sqref="H40">
      <formula1>"Completed,Partially Completed,Not Yet Started,No Answer"</formula1>
    </dataValidation>
    <dataValidation type="list" allowBlank="1" showInputMessage="1" showErrorMessage="1" sqref="H43">
      <formula1>"Yes,It Does Not Apply,Partially,I Have Done An Alternative Approach,No,No Answer"</formula1>
    </dataValidation>
    <dataValidation type="list" allowBlank="1" showInputMessage="1" showErrorMessage="1" sqref="H44">
      <formula1>"Yes,It Does Not Apply,Partially,I Have Done An Alternative Approach,No,No Answer"</formula1>
    </dataValidation>
    <dataValidation type="list" allowBlank="1" showInputMessage="1" showErrorMessage="1" sqref="H45">
      <formula1>"Completed,Partially Completed,Not Yet Started,No Answer"</formula1>
    </dataValidation>
    <dataValidation type="list" allowBlank="1" showInputMessage="1" showErrorMessage="1" sqref="H48">
      <formula1>"Yes,It Does Not Apply,Partially,I Have Done An Alternative Approach,No,No Answer"</formula1>
    </dataValidation>
    <dataValidation type="list" allowBlank="1" showInputMessage="1" showErrorMessage="1" sqref="H49">
      <formula1>"Yes,It Does Not Apply,Partially,I Have Done An Alternative Approach,No,No Answer"</formula1>
    </dataValidation>
    <dataValidation type="list" allowBlank="1" showInputMessage="1" showErrorMessage="1" sqref="H50">
      <formula1>"Yes,It Does Not Apply,Partially,I Have Done An Alternative Approach,No,No Answer"</formula1>
    </dataValidation>
    <dataValidation type="list" allowBlank="1" showInputMessage="1" showErrorMessage="1" sqref="H51">
      <formula1>"Completed,Partially Completed,Not Yet Started,No Answer"</formula1>
    </dataValidation>
    <dataValidation type="list" allowBlank="1" showInputMessage="1" showErrorMessage="1" sqref="H54">
      <formula1>"Yes,It Does Not Apply,Partially,I Have Done An Alternative Approach,No,No Answer"</formula1>
    </dataValidation>
    <dataValidation type="list" allowBlank="1" showInputMessage="1" showErrorMessage="1" sqref="H55">
      <formula1>"Yes,It Does Not Apply,Partially,I Have Done An Alternative Approach,No,No Answer"</formula1>
    </dataValidation>
    <dataValidation type="list" allowBlank="1" showInputMessage="1" showErrorMessage="1" sqref="H56">
      <formula1>"Yes,It Does Not Apply,Partially,I Have Done An Alternative Approach,No,No Answer"</formula1>
    </dataValidation>
    <dataValidation type="list" allowBlank="1" showInputMessage="1" showErrorMessage="1" sqref="H57">
      <formula1>"Yes,It Does Not Apply,Partially,I Have Done An Alternative Approach,No,No Answer"</formula1>
    </dataValidation>
    <dataValidation type="list" allowBlank="1" showInputMessage="1" showErrorMessage="1" sqref="H58">
      <formula1>"Yes,It Does Not Apply,Partially,I Have Done An Alternative Approach,No,No Answer"</formula1>
    </dataValidation>
    <dataValidation type="list" allowBlank="1" showInputMessage="1" showErrorMessage="1" sqref="H59">
      <formula1>"Yes,It Does Not Apply,Partially,I Have Done An Alternative Approach,No,No Answer"</formula1>
    </dataValidation>
    <dataValidation type="list" allowBlank="1" showInputMessage="1" showErrorMessage="1" sqref="H60">
      <formula1>"Completed,Partially Completed,Not Yet Started,No Answer"</formula1>
    </dataValidation>
    <dataValidation type="list" allowBlank="1" showInputMessage="1" showErrorMessage="1" sqref="H63">
      <formula1>"Yes,It Does Not Apply,Partially,I Have Done An Alternative Approach,No,No Answer"</formula1>
    </dataValidation>
    <dataValidation type="list" allowBlank="1" showInputMessage="1" showErrorMessage="1" sqref="H64">
      <formula1>"Yes,It Does Not Apply,Partially,I Have Done An Alternative Approach,No,No Answer"</formula1>
    </dataValidation>
    <dataValidation type="list" allowBlank="1" showInputMessage="1" showErrorMessage="1" sqref="H65">
      <formula1>"Completed,Partially Completed,Not Yet Started,No Answer"</formula1>
    </dataValidation>
    <dataValidation type="list" allowBlank="1" showInputMessage="1" showErrorMessage="1" sqref="H68">
      <formula1>"Completed,Partially Completed,Not Yet Started,No Answer"</formula1>
    </dataValidation>
    <dataValidation type="list" allowBlank="1" showInputMessage="1" showErrorMessage="1" sqref="H70">
      <formula1>"Completed,Partially Completed,Not Yet Started,No Answer"</formula1>
    </dataValidation>
    <dataValidation type="list" allowBlank="1" showInputMessage="1" showErrorMessage="1" sqref="H72">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20" r:id="rId2"/>
    <hyperlink ref="A25" r:id="rId3"/>
    <hyperlink ref="A31" r:id="rId4"/>
    <hyperlink ref="A37" r:id="rId5"/>
    <hyperlink ref="A42" r:id="rId6"/>
    <hyperlink ref="A47" r:id="rId7"/>
    <hyperlink ref="A53" r:id="rId8"/>
    <hyperlink ref="A62" r:id="rId9"/>
  </hyperlinks>
  <pageMargins left="0.7" right="0.7" top="0.75" bottom="0.75" header="0.3" footer="0.3"/>
  <drawing r:id="rId10"/>
</worksheet>
</file>

<file path=xl/worksheets/sheet4.xml><?xml version="1.0" encoding="utf-8"?>
<worksheet xmlns="http://schemas.openxmlformats.org/spreadsheetml/2006/main" xmlns:r="http://schemas.openxmlformats.org/officeDocument/2006/relationships">
  <dimension ref="A1:P55"/>
  <sheetViews>
    <sheetView showGridLines="0" workbookViewId="0"/>
  </sheetViews>
  <sheetFormatPr defaultRowHeight="15"/>
  <cols>
    <col min="12" max="12" width="3.7109375" customWidth="1"/>
    <col min="13" max="13" width="61.7109375" customWidth="1"/>
    <col min="14" max="16" width="9.140625" style="12"/>
  </cols>
  <sheetData>
    <row r="1" spans="1:16">
      <c r="A1" s="13" t="s">
        <v>206</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207</v>
      </c>
      <c r="B11" s="21"/>
      <c r="C11" s="21"/>
      <c r="D11" s="21"/>
      <c r="E11" s="21"/>
      <c r="F11" s="21"/>
      <c r="G11" s="21"/>
      <c r="H11" s="20" t="s">
        <v>58</v>
      </c>
      <c r="I11" s="20"/>
      <c r="J11" s="20"/>
      <c r="K11" s="20"/>
      <c r="M11" s="22" t="s">
        <v>59</v>
      </c>
    </row>
    <row r="12" spans="1:16" ht="48" customHeight="1">
      <c r="A12" s="23" t="s">
        <v>208</v>
      </c>
      <c r="B12" s="23"/>
      <c r="C12" s="23"/>
      <c r="D12" s="23"/>
      <c r="E12" s="23"/>
      <c r="F12" s="23"/>
      <c r="G12" s="23"/>
      <c r="H12" s="24" t="s">
        <v>51</v>
      </c>
      <c r="I12" s="24"/>
      <c r="J12" s="24"/>
      <c r="K12" s="24"/>
      <c r="M12" s="22" t="s">
        <v>61</v>
      </c>
      <c r="N12" s="12">
        <f>vlookup(H12,data_summary_by_question!U2:V7,2, FALSE)</f>
        <v>0</v>
      </c>
      <c r="O12" s="12">
        <f>average(N12:N15)</f>
        <v>0</v>
      </c>
      <c r="P12" s="12">
        <f>H12</f>
        <v>0</v>
      </c>
    </row>
    <row r="13" spans="1:16" ht="48" customHeight="1">
      <c r="A13" s="23" t="s">
        <v>209</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3" t="s">
        <v>210</v>
      </c>
      <c r="B14" s="23"/>
      <c r="C14" s="23"/>
      <c r="D14" s="23"/>
      <c r="E14" s="23"/>
      <c r="F14" s="23"/>
      <c r="G14" s="23"/>
      <c r="H14" s="24" t="s">
        <v>51</v>
      </c>
      <c r="I14" s="24"/>
      <c r="J14" s="24"/>
      <c r="K14" s="24"/>
      <c r="M14" s="22" t="s">
        <v>61</v>
      </c>
      <c r="N14" s="12">
        <f>vlookup(H14,data_summary_by_question!U2:V7,2, FALSE)</f>
        <v>0</v>
      </c>
      <c r="P14" s="12">
        <f>H14</f>
        <v>0</v>
      </c>
    </row>
    <row r="15" spans="1:16" ht="48" customHeight="1">
      <c r="A15" s="23" t="s">
        <v>211</v>
      </c>
      <c r="B15" s="23"/>
      <c r="C15" s="23"/>
      <c r="D15" s="23"/>
      <c r="E15" s="23"/>
      <c r="F15" s="23"/>
      <c r="G15" s="23"/>
      <c r="H15" s="24" t="s">
        <v>51</v>
      </c>
      <c r="I15" s="24"/>
      <c r="J15" s="24"/>
      <c r="K15" s="24"/>
      <c r="M15" s="22" t="s">
        <v>61</v>
      </c>
      <c r="N15" s="12">
        <f>vlookup(H15,data_summary_by_question!U2:V7,2, FALSE)</f>
        <v>0</v>
      </c>
      <c r="P15" s="12">
        <f>H15</f>
        <v>0</v>
      </c>
    </row>
    <row r="16" spans="1:16" ht="48" customHeight="1">
      <c r="A16" s="25" t="s">
        <v>67</v>
      </c>
      <c r="B16" s="25"/>
      <c r="C16" s="25"/>
      <c r="D16" s="25"/>
      <c r="E16" s="25"/>
      <c r="F16" s="25"/>
      <c r="G16" s="25"/>
      <c r="H16" s="26" t="s">
        <v>51</v>
      </c>
      <c r="I16" s="26"/>
      <c r="J16" s="26"/>
      <c r="K16" s="26"/>
      <c r="M16" s="26" t="s">
        <v>68</v>
      </c>
    </row>
    <row r="18" spans="1:16" ht="48" customHeight="1">
      <c r="A18" s="21" t="s">
        <v>212</v>
      </c>
      <c r="B18" s="21"/>
      <c r="C18" s="21"/>
      <c r="D18" s="21"/>
      <c r="E18" s="21"/>
      <c r="F18" s="21"/>
      <c r="G18" s="21"/>
      <c r="H18" s="20" t="s">
        <v>58</v>
      </c>
      <c r="I18" s="20"/>
      <c r="J18" s="20"/>
      <c r="K18" s="20"/>
      <c r="M18" s="22" t="s">
        <v>59</v>
      </c>
    </row>
    <row r="19" spans="1:16" ht="48" customHeight="1">
      <c r="A19" s="23" t="s">
        <v>213</v>
      </c>
      <c r="B19" s="23"/>
      <c r="C19" s="23"/>
      <c r="D19" s="23"/>
      <c r="E19" s="23"/>
      <c r="F19" s="23"/>
      <c r="G19" s="23"/>
      <c r="H19" s="24" t="s">
        <v>51</v>
      </c>
      <c r="I19" s="24"/>
      <c r="J19" s="24"/>
      <c r="K19" s="24"/>
      <c r="M19" s="22" t="s">
        <v>61</v>
      </c>
      <c r="N19" s="12">
        <f>vlookup(H19,data_summary_by_question!U2:V7,2, FALSE)</f>
        <v>0</v>
      </c>
      <c r="O19" s="12">
        <f>average(N19:N21)</f>
        <v>0</v>
      </c>
      <c r="P19" s="12">
        <f>H19</f>
        <v>0</v>
      </c>
    </row>
    <row r="20" spans="1:16" ht="48" customHeight="1">
      <c r="A20" s="23" t="s">
        <v>214</v>
      </c>
      <c r="B20" s="23"/>
      <c r="C20" s="23"/>
      <c r="D20" s="23"/>
      <c r="E20" s="23"/>
      <c r="F20" s="23"/>
      <c r="G20" s="23"/>
      <c r="H20" s="24" t="s">
        <v>51</v>
      </c>
      <c r="I20" s="24"/>
      <c r="J20" s="24"/>
      <c r="K20" s="24"/>
      <c r="M20" s="22" t="s">
        <v>61</v>
      </c>
      <c r="N20" s="12">
        <f>vlookup(H20,data_summary_by_question!U2:V7,2, FALSE)</f>
        <v>0</v>
      </c>
      <c r="P20" s="12">
        <f>H20</f>
        <v>0</v>
      </c>
    </row>
    <row r="21" spans="1:16" ht="48" customHeight="1">
      <c r="A21" s="23" t="s">
        <v>215</v>
      </c>
      <c r="B21" s="23"/>
      <c r="C21" s="23"/>
      <c r="D21" s="23"/>
      <c r="E21" s="23"/>
      <c r="F21" s="23"/>
      <c r="G21" s="23"/>
      <c r="H21" s="24" t="s">
        <v>51</v>
      </c>
      <c r="I21" s="24"/>
      <c r="J21" s="24"/>
      <c r="K21" s="24"/>
      <c r="M21" s="22" t="s">
        <v>61</v>
      </c>
      <c r="N21" s="12">
        <f>vlookup(H21,data_summary_by_question!U2:V7,2, FALSE)</f>
        <v>0</v>
      </c>
      <c r="P21" s="12">
        <f>H21</f>
        <v>0</v>
      </c>
    </row>
    <row r="22" spans="1:16" ht="48" customHeight="1">
      <c r="A22" s="25" t="s">
        <v>67</v>
      </c>
      <c r="B22" s="25"/>
      <c r="C22" s="25"/>
      <c r="D22" s="25"/>
      <c r="E22" s="25"/>
      <c r="F22" s="25"/>
      <c r="G22" s="25"/>
      <c r="H22" s="26" t="s">
        <v>51</v>
      </c>
      <c r="I22" s="26"/>
      <c r="J22" s="26"/>
      <c r="K22" s="26"/>
      <c r="M22" s="26" t="s">
        <v>68</v>
      </c>
    </row>
    <row r="24" spans="1:16" ht="48" customHeight="1">
      <c r="A24" s="21" t="s">
        <v>216</v>
      </c>
      <c r="B24" s="21"/>
      <c r="C24" s="21"/>
      <c r="D24" s="21"/>
      <c r="E24" s="21"/>
      <c r="F24" s="21"/>
      <c r="G24" s="21"/>
      <c r="H24" s="20" t="s">
        <v>58</v>
      </c>
      <c r="I24" s="20"/>
      <c r="J24" s="20"/>
      <c r="K24" s="20"/>
      <c r="M24" s="22" t="s">
        <v>59</v>
      </c>
    </row>
    <row r="25" spans="1:16" ht="48" customHeight="1">
      <c r="A25" s="23" t="s">
        <v>217</v>
      </c>
      <c r="B25" s="23"/>
      <c r="C25" s="23"/>
      <c r="D25" s="23"/>
      <c r="E25" s="23"/>
      <c r="F25" s="23"/>
      <c r="G25" s="23"/>
      <c r="H25" s="24" t="s">
        <v>51</v>
      </c>
      <c r="I25" s="24"/>
      <c r="J25" s="24"/>
      <c r="K25" s="24"/>
      <c r="M25" s="22" t="s">
        <v>61</v>
      </c>
      <c r="N25" s="12">
        <f>vlookup(H25,data_summary_by_question!U2:V7,2, FALSE)</f>
        <v>0</v>
      </c>
      <c r="O25" s="12">
        <f>average(N25:N26)</f>
        <v>0</v>
      </c>
      <c r="P25" s="12">
        <f>H25</f>
        <v>0</v>
      </c>
    </row>
    <row r="26" spans="1:16" ht="48" customHeight="1">
      <c r="A26" s="23" t="s">
        <v>218</v>
      </c>
      <c r="B26" s="23"/>
      <c r="C26" s="23"/>
      <c r="D26" s="23"/>
      <c r="E26" s="23"/>
      <c r="F26" s="23"/>
      <c r="G26" s="23"/>
      <c r="H26" s="24" t="s">
        <v>51</v>
      </c>
      <c r="I26" s="24"/>
      <c r="J26" s="24"/>
      <c r="K26" s="24"/>
      <c r="M26" s="22" t="s">
        <v>61</v>
      </c>
      <c r="N26" s="12">
        <f>vlookup(H26,data_summary_by_question!U2:V7,2, FALSE)</f>
        <v>0</v>
      </c>
      <c r="P26" s="12">
        <f>H26</f>
        <v>0</v>
      </c>
    </row>
    <row r="27" spans="1:16" ht="48" customHeight="1">
      <c r="A27" s="25" t="s">
        <v>67</v>
      </c>
      <c r="B27" s="25"/>
      <c r="C27" s="25"/>
      <c r="D27" s="25"/>
      <c r="E27" s="25"/>
      <c r="F27" s="25"/>
      <c r="G27" s="25"/>
      <c r="H27" s="26" t="s">
        <v>51</v>
      </c>
      <c r="I27" s="26"/>
      <c r="J27" s="26"/>
      <c r="K27" s="26"/>
      <c r="M27" s="26" t="s">
        <v>68</v>
      </c>
    </row>
    <row r="30" spans="1:16" ht="48" customHeight="1">
      <c r="A30" s="25" t="s">
        <v>154</v>
      </c>
      <c r="B30" s="25"/>
      <c r="C30" s="25"/>
      <c r="D30" s="25"/>
      <c r="E30" s="25"/>
      <c r="F30" s="25"/>
      <c r="G30" s="25"/>
      <c r="H30" s="26" t="s">
        <v>51</v>
      </c>
      <c r="I30" s="26"/>
      <c r="J30" s="26"/>
      <c r="K30" s="26"/>
      <c r="M30" s="26" t="s">
        <v>61</v>
      </c>
    </row>
    <row r="32" spans="1:16" ht="48" customHeight="1">
      <c r="A32" s="25" t="s">
        <v>155</v>
      </c>
      <c r="B32" s="25"/>
      <c r="C32" s="25"/>
      <c r="D32" s="25"/>
      <c r="E32" s="25"/>
      <c r="F32" s="25"/>
      <c r="G32" s="25"/>
      <c r="H32" s="26" t="s">
        <v>51</v>
      </c>
      <c r="I32" s="26"/>
      <c r="J32" s="26"/>
      <c r="K32" s="26"/>
      <c r="M32" s="26" t="s">
        <v>61</v>
      </c>
    </row>
    <row r="34" spans="1:13" ht="48" customHeight="1">
      <c r="A34" s="25" t="s">
        <v>156</v>
      </c>
      <c r="B34" s="25"/>
      <c r="C34" s="25"/>
      <c r="D34" s="25"/>
      <c r="E34" s="25"/>
      <c r="F34" s="25"/>
      <c r="G34" s="25"/>
      <c r="H34" s="26" t="s">
        <v>51</v>
      </c>
      <c r="I34" s="26"/>
      <c r="J34" s="26"/>
      <c r="K34" s="26"/>
      <c r="M34" s="26" t="s">
        <v>61</v>
      </c>
    </row>
    <row r="38" spans="1:13" s="12" customFormat="1">
      <c r="A38" s="12" t="s">
        <v>157</v>
      </c>
      <c r="B38" s="12" t="s">
        <v>158</v>
      </c>
      <c r="C38" s="12" t="s">
        <v>159</v>
      </c>
    </row>
    <row r="39" spans="1:13" s="12" customFormat="1">
      <c r="A39" s="12" t="s">
        <v>46</v>
      </c>
      <c r="B39" s="12">
        <f>COUNTIF(P12:P27,A39)</f>
        <v>0</v>
      </c>
      <c r="C39" s="12">
        <f>B39/ B46</f>
        <v>0</v>
      </c>
    </row>
    <row r="40" spans="1:13" s="12" customFormat="1">
      <c r="A40" s="12" t="s">
        <v>47</v>
      </c>
      <c r="B40" s="12">
        <f>COUNTIF(P12:P27,A40)</f>
        <v>0</v>
      </c>
      <c r="C40" s="12">
        <f>B40/ B46</f>
        <v>0</v>
      </c>
    </row>
    <row r="41" spans="1:13" s="12" customFormat="1">
      <c r="A41" s="12" t="s">
        <v>48</v>
      </c>
      <c r="B41" s="12">
        <f>COUNTIF(P12:P27,A41)</f>
        <v>0</v>
      </c>
      <c r="C41" s="12">
        <f>B41/ B46</f>
        <v>0</v>
      </c>
    </row>
    <row r="42" spans="1:13" s="12" customFormat="1">
      <c r="A42" s="12" t="s">
        <v>49</v>
      </c>
      <c r="B42" s="12">
        <f>COUNTIF(P12:P27,A42)</f>
        <v>0</v>
      </c>
      <c r="C42" s="12">
        <f>B42/ B46</f>
        <v>0</v>
      </c>
    </row>
    <row r="43" spans="1:13" s="12" customFormat="1">
      <c r="A43" s="12" t="s">
        <v>50</v>
      </c>
      <c r="B43" s="12">
        <f>COUNTIF(P12:P27,A43)</f>
        <v>0</v>
      </c>
      <c r="C43" s="12">
        <f>B43/ B46</f>
        <v>0</v>
      </c>
    </row>
    <row r="44" spans="1:13" s="12" customFormat="1">
      <c r="A44" s="12" t="s">
        <v>51</v>
      </c>
      <c r="B44" s="12">
        <f>COUNTIF(P12:P27,A44)</f>
        <v>0</v>
      </c>
      <c r="C44" s="12">
        <f>B44/ B46</f>
        <v>0</v>
      </c>
    </row>
    <row r="45" spans="1:13" s="12" customFormat="1"/>
    <row r="46" spans="1:13" s="12" customFormat="1">
      <c r="A46" s="12" t="s">
        <v>160</v>
      </c>
      <c r="B46" s="12">
        <f>SUM(B39:B44)</f>
        <v>0</v>
      </c>
    </row>
    <row r="47" spans="1:13" s="12" customFormat="1"/>
    <row r="48" spans="1:13" s="12" customFormat="1">
      <c r="A48" s="12" t="s">
        <v>161</v>
      </c>
    </row>
    <row r="49" spans="1:2" s="12" customFormat="1">
      <c r="A49" s="12" t="s">
        <v>162</v>
      </c>
      <c r="B49" s="12">
        <f>countifs(O12:O27,"&gt;=1.0", O12:O27,"&lt;=1.0")</f>
        <v>0</v>
      </c>
    </row>
    <row r="50" spans="1:2" s="12" customFormat="1">
      <c r="A50" s="12" t="s">
        <v>163</v>
      </c>
      <c r="B50" s="12">
        <f>countifs(O12:O27,"&gt;=0.75", O12:O27,"&lt;=0.99")</f>
        <v>0</v>
      </c>
    </row>
    <row r="51" spans="1:2" s="12" customFormat="1">
      <c r="A51" s="12" t="s">
        <v>164</v>
      </c>
      <c r="B51" s="12">
        <f>countifs(O12:O27,"&gt;=0.5", O12:O27,"&lt;=0.74")</f>
        <v>0</v>
      </c>
    </row>
    <row r="52" spans="1:2" s="12" customFormat="1">
      <c r="A52" s="12" t="s">
        <v>165</v>
      </c>
      <c r="B52" s="12">
        <f>countifs(O12:O27,"&gt;=0.25", O12:O27,"&lt;=0.49")</f>
        <v>0</v>
      </c>
    </row>
    <row r="53" spans="1:2" s="12" customFormat="1">
      <c r="A53" s="12" t="s">
        <v>166</v>
      </c>
      <c r="B53" s="12">
        <f>countifs(O12:O27,"&gt;=0.0", O12:O27,"&lt;=0.24")</f>
        <v>0</v>
      </c>
    </row>
    <row r="54" spans="1:2" s="12" customFormat="1"/>
    <row r="55" spans="1:2" s="12" customFormat="1">
      <c r="A55" s="12" t="s">
        <v>160</v>
      </c>
      <c r="B55" s="12">
        <f>SUM(B49:B53)</f>
        <v>0</v>
      </c>
    </row>
  </sheetData>
  <sheetProtection password="E4E4" sheet="1" objects="1" scenarios="1"/>
  <mergeCells count="59">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5:G15"/>
    <mergeCell ref="H15:K15"/>
    <mergeCell ref="A16:G16"/>
    <mergeCell ref="H16:K16"/>
    <mergeCell ref="A18:G18"/>
    <mergeCell ref="H18:K18"/>
    <mergeCell ref="A19:G19"/>
    <mergeCell ref="H19:K19"/>
    <mergeCell ref="A20:G20"/>
    <mergeCell ref="H20:K20"/>
    <mergeCell ref="A21:G21"/>
    <mergeCell ref="H21:K21"/>
    <mergeCell ref="A22:G22"/>
    <mergeCell ref="H22:K22"/>
    <mergeCell ref="A24:G24"/>
    <mergeCell ref="H24:K24"/>
    <mergeCell ref="A25:G25"/>
    <mergeCell ref="H25:K25"/>
    <mergeCell ref="A26:G26"/>
    <mergeCell ref="H26:K26"/>
    <mergeCell ref="A27:G27"/>
    <mergeCell ref="H27:K27"/>
    <mergeCell ref="A30:G30"/>
    <mergeCell ref="H30:K30"/>
    <mergeCell ref="A32:G32"/>
    <mergeCell ref="H32:K32"/>
    <mergeCell ref="A34:G34"/>
    <mergeCell ref="H34:K34"/>
  </mergeCells>
  <dataValidations count="15">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"Yes,It Does Not Apply,Partially,I Have Done An Alternative Approach,No,No Answer"</formula1>
    </dataValidation>
    <dataValidation type="list" allowBlank="1" showInputMessage="1" showErrorMessage="1" sqref="H15">
      <formula1>"Yes,It Does Not Apply,Partially,I Have Done An Alternative Approach,No,No Answer"</formula1>
    </dataValidation>
    <dataValidation type="list" allowBlank="1" showInputMessage="1" showErrorMessage="1" sqref="H16">
      <formula1>"Completed,Partially Completed,Not Yet Started,No Answer"</formula1>
    </dataValidation>
    <dataValidation type="list" allowBlank="1" showInputMessage="1" showErrorMessage="1" sqref="H19">
      <formula1>"Yes,It Does Not Apply,Partially,I Have Done An Alternative Approach,No,No Answer"</formula1>
    </dataValidation>
    <dataValidation type="list" allowBlank="1" showInputMessage="1" showErrorMessage="1" sqref="H20">
      <formula1>"Yes,It Does Not Apply,Partially,I Have Done An Alternative Approach,No,No Answer"</formula1>
    </dataValidation>
    <dataValidation type="list" allowBlank="1" showInputMessage="1" showErrorMessage="1" sqref="H21">
      <formula1>"Yes,It Does Not Apply,Partially,I Have Done An Alternative Approach,No,No Answer"</formula1>
    </dataValidation>
    <dataValidation type="list" allowBlank="1" showInputMessage="1" showErrorMessage="1" sqref="H22">
      <formula1>"Completed,Partially Completed,Not Yet Started,No Answer"</formula1>
    </dataValidation>
    <dataValidation type="list" allowBlank="1" showInputMessage="1" showErrorMessage="1" sqref="H25">
      <formula1>"Yes,It Does Not Apply,Partially,I Have Done An Alternative Approach,No,No Answer"</formula1>
    </dataValidation>
    <dataValidation type="list" allowBlank="1" showInputMessage="1" showErrorMessage="1" sqref="H26">
      <formula1>"Yes,It Does Not Apply,Partially,I Have Done An Alternative Approach,No,No Answer"</formula1>
    </dataValidation>
    <dataValidation type="list" allowBlank="1" showInputMessage="1" showErrorMessage="1" sqref="H27">
      <formula1>"Completed,Partially Completed,Not Yet Started,No Answer"</formula1>
    </dataValidation>
    <dataValidation type="list" allowBlank="1" showInputMessage="1" showErrorMessage="1" sqref="H30">
      <formula1>"Completed,Partially Completed,Not Yet Started,No Answer"</formula1>
    </dataValidation>
    <dataValidation type="list" allowBlank="1" showInputMessage="1" showErrorMessage="1" sqref="H32">
      <formula1>"Completed,Partially Completed,Not Yet Started,No Answer"</formula1>
    </dataValidation>
    <dataValidation type="list" allowBlank="1" showInputMessage="1" showErrorMessage="1" sqref="H34">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18" r:id="rId2"/>
    <hyperlink ref="A24" r:id="rId3"/>
  </hyperlink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dimension ref="A1:P108"/>
  <sheetViews>
    <sheetView showGridLines="0" workbookViewId="0"/>
  </sheetViews>
  <sheetFormatPr defaultRowHeight="15"/>
  <cols>
    <col min="12" max="12" width="3.7109375" customWidth="1"/>
    <col min="13" max="13" width="61.7109375" customWidth="1"/>
    <col min="14" max="16" width="9.140625" style="12"/>
  </cols>
  <sheetData>
    <row r="1" spans="1:16">
      <c r="A1" s="13" t="s">
        <v>219</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220</v>
      </c>
      <c r="B11" s="21"/>
      <c r="C11" s="21"/>
      <c r="D11" s="21"/>
      <c r="E11" s="21"/>
      <c r="F11" s="21"/>
      <c r="G11" s="21"/>
      <c r="H11" s="20" t="s">
        <v>58</v>
      </c>
      <c r="I11" s="20"/>
      <c r="J11" s="20"/>
      <c r="K11" s="20"/>
      <c r="M11" s="22" t="s">
        <v>59</v>
      </c>
    </row>
    <row r="12" spans="1:16" ht="48" customHeight="1">
      <c r="A12" s="23" t="s">
        <v>221</v>
      </c>
      <c r="B12" s="23"/>
      <c r="C12" s="23"/>
      <c r="D12" s="23"/>
      <c r="E12" s="23"/>
      <c r="F12" s="23"/>
      <c r="G12" s="23"/>
      <c r="H12" s="24" t="s">
        <v>51</v>
      </c>
      <c r="I12" s="24"/>
      <c r="J12" s="24"/>
      <c r="K12" s="24"/>
      <c r="M12" s="22" t="s">
        <v>61</v>
      </c>
      <c r="N12" s="12">
        <f>vlookup(H12,data_summary_by_question!U2:V7,2, FALSE)</f>
        <v>0</v>
      </c>
      <c r="O12" s="12">
        <f>average(N12:N17)</f>
        <v>0</v>
      </c>
      <c r="P12" s="12">
        <f>H12</f>
        <v>0</v>
      </c>
    </row>
    <row r="13" spans="1:16" ht="48" customHeight="1">
      <c r="A13" s="23" t="s">
        <v>222</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3" t="s">
        <v>223</v>
      </c>
      <c r="B14" s="23"/>
      <c r="C14" s="23"/>
      <c r="D14" s="23"/>
      <c r="E14" s="23"/>
      <c r="F14" s="23"/>
      <c r="G14" s="23"/>
      <c r="H14" s="24" t="s">
        <v>51</v>
      </c>
      <c r="I14" s="24"/>
      <c r="J14" s="24"/>
      <c r="K14" s="24"/>
      <c r="M14" s="22" t="s">
        <v>61</v>
      </c>
      <c r="N14" s="12">
        <f>vlookup(H14,data_summary_by_question!U2:V7,2, FALSE)</f>
        <v>0</v>
      </c>
      <c r="P14" s="12">
        <f>H14</f>
        <v>0</v>
      </c>
    </row>
    <row r="15" spans="1:16" ht="48" customHeight="1">
      <c r="A15" s="23" t="s">
        <v>224</v>
      </c>
      <c r="B15" s="23"/>
      <c r="C15" s="23"/>
      <c r="D15" s="23"/>
      <c r="E15" s="23"/>
      <c r="F15" s="23"/>
      <c r="G15" s="23"/>
      <c r="H15" s="24" t="s">
        <v>51</v>
      </c>
      <c r="I15" s="24"/>
      <c r="J15" s="24"/>
      <c r="K15" s="24"/>
      <c r="M15" s="22" t="s">
        <v>61</v>
      </c>
      <c r="N15" s="12">
        <f>vlookup(H15,data_summary_by_question!U2:V7,2, FALSE)</f>
        <v>0</v>
      </c>
      <c r="P15" s="12">
        <f>H15</f>
        <v>0</v>
      </c>
    </row>
    <row r="16" spans="1:16" ht="48" customHeight="1">
      <c r="A16" s="23" t="s">
        <v>225</v>
      </c>
      <c r="B16" s="23"/>
      <c r="C16" s="23"/>
      <c r="D16" s="23"/>
      <c r="E16" s="23"/>
      <c r="F16" s="23"/>
      <c r="G16" s="23"/>
      <c r="H16" s="24" t="s">
        <v>51</v>
      </c>
      <c r="I16" s="24"/>
      <c r="J16" s="24"/>
      <c r="K16" s="24"/>
      <c r="M16" s="22" t="s">
        <v>61</v>
      </c>
      <c r="N16" s="12">
        <f>vlookup(H16,data_summary_by_question!U2:V7,2, FALSE)</f>
        <v>0</v>
      </c>
      <c r="P16" s="12">
        <f>H16</f>
        <v>0</v>
      </c>
    </row>
    <row r="17" spans="1:16" ht="48" customHeight="1">
      <c r="A17" s="23" t="s">
        <v>226</v>
      </c>
      <c r="B17" s="23"/>
      <c r="C17" s="23"/>
      <c r="D17" s="23"/>
      <c r="E17" s="23"/>
      <c r="F17" s="23"/>
      <c r="G17" s="23"/>
      <c r="H17" s="24" t="s">
        <v>51</v>
      </c>
      <c r="I17" s="24"/>
      <c r="J17" s="24"/>
      <c r="K17" s="24"/>
      <c r="M17" s="22" t="s">
        <v>61</v>
      </c>
      <c r="N17" s="12">
        <f>vlookup(H17,data_summary_by_question!U2:V7,2, FALSE)</f>
        <v>0</v>
      </c>
      <c r="P17" s="12">
        <f>H17</f>
        <v>0</v>
      </c>
    </row>
    <row r="18" spans="1:16" ht="48" customHeight="1">
      <c r="A18" s="25" t="s">
        <v>67</v>
      </c>
      <c r="B18" s="25"/>
      <c r="C18" s="25"/>
      <c r="D18" s="25"/>
      <c r="E18" s="25"/>
      <c r="F18" s="25"/>
      <c r="G18" s="25"/>
      <c r="H18" s="26" t="s">
        <v>51</v>
      </c>
      <c r="I18" s="26"/>
      <c r="J18" s="26"/>
      <c r="K18" s="26"/>
      <c r="M18" s="26" t="s">
        <v>68</v>
      </c>
    </row>
    <row r="20" spans="1:16" ht="48" customHeight="1">
      <c r="A20" s="21" t="s">
        <v>227</v>
      </c>
      <c r="B20" s="21"/>
      <c r="C20" s="21"/>
      <c r="D20" s="21"/>
      <c r="E20" s="21"/>
      <c r="F20" s="21"/>
      <c r="G20" s="21"/>
      <c r="H20" s="20" t="s">
        <v>58</v>
      </c>
      <c r="I20" s="20"/>
      <c r="J20" s="20"/>
      <c r="K20" s="20"/>
      <c r="M20" s="22" t="s">
        <v>59</v>
      </c>
    </row>
    <row r="21" spans="1:16" ht="48" customHeight="1">
      <c r="A21" s="23" t="s">
        <v>228</v>
      </c>
      <c r="B21" s="23"/>
      <c r="C21" s="23"/>
      <c r="D21" s="23"/>
      <c r="E21" s="23"/>
      <c r="F21" s="23"/>
      <c r="G21" s="23"/>
      <c r="H21" s="24" t="s">
        <v>51</v>
      </c>
      <c r="I21" s="24"/>
      <c r="J21" s="24"/>
      <c r="K21" s="24"/>
      <c r="M21" s="22" t="s">
        <v>61</v>
      </c>
      <c r="N21" s="12">
        <f>vlookup(H21,data_summary_by_question!U2:V7,2, FALSE)</f>
        <v>0</v>
      </c>
      <c r="O21" s="12">
        <f>average(N21:N22)</f>
        <v>0</v>
      </c>
      <c r="P21" s="12">
        <f>H21</f>
        <v>0</v>
      </c>
    </row>
    <row r="22" spans="1:16" ht="48" customHeight="1">
      <c r="A22" s="23" t="s">
        <v>229</v>
      </c>
      <c r="B22" s="23"/>
      <c r="C22" s="23"/>
      <c r="D22" s="23"/>
      <c r="E22" s="23"/>
      <c r="F22" s="23"/>
      <c r="G22" s="23"/>
      <c r="H22" s="24" t="s">
        <v>51</v>
      </c>
      <c r="I22" s="24"/>
      <c r="J22" s="24"/>
      <c r="K22" s="24"/>
      <c r="M22" s="22" t="s">
        <v>61</v>
      </c>
      <c r="N22" s="12">
        <f>vlookup(H22,data_summary_by_question!U2:V7,2, FALSE)</f>
        <v>0</v>
      </c>
      <c r="P22" s="12">
        <f>H22</f>
        <v>0</v>
      </c>
    </row>
    <row r="23" spans="1:16" ht="48" customHeight="1">
      <c r="A23" s="25" t="s">
        <v>67</v>
      </c>
      <c r="B23" s="25"/>
      <c r="C23" s="25"/>
      <c r="D23" s="25"/>
      <c r="E23" s="25"/>
      <c r="F23" s="25"/>
      <c r="G23" s="25"/>
      <c r="H23" s="26" t="s">
        <v>51</v>
      </c>
      <c r="I23" s="26"/>
      <c r="J23" s="26"/>
      <c r="K23" s="26"/>
      <c r="M23" s="26" t="s">
        <v>68</v>
      </c>
    </row>
    <row r="25" spans="1:16" ht="48" customHeight="1">
      <c r="A25" s="21" t="s">
        <v>230</v>
      </c>
      <c r="B25" s="21"/>
      <c r="C25" s="21"/>
      <c r="D25" s="21"/>
      <c r="E25" s="21"/>
      <c r="F25" s="21"/>
      <c r="G25" s="21"/>
      <c r="H25" s="20" t="s">
        <v>58</v>
      </c>
      <c r="I25" s="20"/>
      <c r="J25" s="20"/>
      <c r="K25" s="20"/>
      <c r="M25" s="22" t="s">
        <v>59</v>
      </c>
    </row>
    <row r="26" spans="1:16" ht="48" customHeight="1">
      <c r="A26" s="23" t="s">
        <v>231</v>
      </c>
      <c r="B26" s="23"/>
      <c r="C26" s="23"/>
      <c r="D26" s="23"/>
      <c r="E26" s="23"/>
      <c r="F26" s="23"/>
      <c r="G26" s="23"/>
      <c r="H26" s="24" t="s">
        <v>51</v>
      </c>
      <c r="I26" s="24"/>
      <c r="J26" s="24"/>
      <c r="K26" s="24"/>
      <c r="M26" s="22" t="s">
        <v>61</v>
      </c>
      <c r="N26" s="12">
        <f>vlookup(H26,data_summary_by_question!U2:V7,2, FALSE)</f>
        <v>0</v>
      </c>
      <c r="O26" s="12">
        <f>average(N26:N29)</f>
        <v>0</v>
      </c>
      <c r="P26" s="12">
        <f>H26</f>
        <v>0</v>
      </c>
    </row>
    <row r="27" spans="1:16" ht="48" customHeight="1">
      <c r="A27" s="23" t="s">
        <v>232</v>
      </c>
      <c r="B27" s="23"/>
      <c r="C27" s="23"/>
      <c r="D27" s="23"/>
      <c r="E27" s="23"/>
      <c r="F27" s="23"/>
      <c r="G27" s="23"/>
      <c r="H27" s="24" t="s">
        <v>51</v>
      </c>
      <c r="I27" s="24"/>
      <c r="J27" s="24"/>
      <c r="K27" s="24"/>
      <c r="M27" s="22" t="s">
        <v>61</v>
      </c>
      <c r="N27" s="12">
        <f>vlookup(H27,data_summary_by_question!U2:V7,2, FALSE)</f>
        <v>0</v>
      </c>
      <c r="P27" s="12">
        <f>H27</f>
        <v>0</v>
      </c>
    </row>
    <row r="28" spans="1:16" ht="48" customHeight="1">
      <c r="A28" s="23" t="s">
        <v>233</v>
      </c>
      <c r="B28" s="23"/>
      <c r="C28" s="23"/>
      <c r="D28" s="23"/>
      <c r="E28" s="23"/>
      <c r="F28" s="23"/>
      <c r="G28" s="23"/>
      <c r="H28" s="24" t="s">
        <v>51</v>
      </c>
      <c r="I28" s="24"/>
      <c r="J28" s="24"/>
      <c r="K28" s="24"/>
      <c r="M28" s="22" t="s">
        <v>61</v>
      </c>
      <c r="N28" s="12">
        <f>vlookup(H28,data_summary_by_question!U2:V7,2, FALSE)</f>
        <v>0</v>
      </c>
      <c r="P28" s="12">
        <f>H28</f>
        <v>0</v>
      </c>
    </row>
    <row r="29" spans="1:16" ht="48" customHeight="1">
      <c r="A29" s="23" t="s">
        <v>234</v>
      </c>
      <c r="B29" s="23"/>
      <c r="C29" s="23"/>
      <c r="D29" s="23"/>
      <c r="E29" s="23"/>
      <c r="F29" s="23"/>
      <c r="G29" s="23"/>
      <c r="H29" s="24" t="s">
        <v>51</v>
      </c>
      <c r="I29" s="24"/>
      <c r="J29" s="24"/>
      <c r="K29" s="24"/>
      <c r="M29" s="22" t="s">
        <v>61</v>
      </c>
      <c r="N29" s="12">
        <f>vlookup(H29,data_summary_by_question!U2:V7,2, FALSE)</f>
        <v>0</v>
      </c>
      <c r="P29" s="12">
        <f>H29</f>
        <v>0</v>
      </c>
    </row>
    <row r="30" spans="1:16" ht="48" customHeight="1">
      <c r="A30" s="25" t="s">
        <v>67</v>
      </c>
      <c r="B30" s="25"/>
      <c r="C30" s="25"/>
      <c r="D30" s="25"/>
      <c r="E30" s="25"/>
      <c r="F30" s="25"/>
      <c r="G30" s="25"/>
      <c r="H30" s="26" t="s">
        <v>51</v>
      </c>
      <c r="I30" s="26"/>
      <c r="J30" s="26"/>
      <c r="K30" s="26"/>
      <c r="M30" s="26" t="s">
        <v>68</v>
      </c>
    </row>
    <row r="32" spans="1:16" ht="48" customHeight="1">
      <c r="A32" s="21" t="s">
        <v>235</v>
      </c>
      <c r="B32" s="21"/>
      <c r="C32" s="21"/>
      <c r="D32" s="21"/>
      <c r="E32" s="21"/>
      <c r="F32" s="21"/>
      <c r="G32" s="21"/>
      <c r="H32" s="20" t="s">
        <v>58</v>
      </c>
      <c r="I32" s="20"/>
      <c r="J32" s="20"/>
      <c r="K32" s="20"/>
      <c r="M32" s="22" t="s">
        <v>59</v>
      </c>
    </row>
    <row r="33" spans="1:16" ht="48" customHeight="1">
      <c r="A33" s="23" t="s">
        <v>236</v>
      </c>
      <c r="B33" s="23"/>
      <c r="C33" s="23"/>
      <c r="D33" s="23"/>
      <c r="E33" s="23"/>
      <c r="F33" s="23"/>
      <c r="G33" s="23"/>
      <c r="H33" s="24" t="s">
        <v>51</v>
      </c>
      <c r="I33" s="24"/>
      <c r="J33" s="24"/>
      <c r="K33" s="24"/>
      <c r="M33" s="22" t="s">
        <v>61</v>
      </c>
      <c r="N33" s="12">
        <f>vlookup(H33,data_summary_by_question!U2:V7,2, FALSE)</f>
        <v>0</v>
      </c>
      <c r="O33" s="12">
        <f>average(N33:N33)</f>
        <v>0</v>
      </c>
      <c r="P33" s="12">
        <f>H33</f>
        <v>0</v>
      </c>
    </row>
    <row r="34" spans="1:16" ht="48" customHeight="1">
      <c r="A34" s="25" t="s">
        <v>67</v>
      </c>
      <c r="B34" s="25"/>
      <c r="C34" s="25"/>
      <c r="D34" s="25"/>
      <c r="E34" s="25"/>
      <c r="F34" s="25"/>
      <c r="G34" s="25"/>
      <c r="H34" s="26" t="s">
        <v>51</v>
      </c>
      <c r="I34" s="26"/>
      <c r="J34" s="26"/>
      <c r="K34" s="26"/>
      <c r="M34" s="26" t="s">
        <v>68</v>
      </c>
    </row>
    <row r="36" spans="1:16" ht="48" customHeight="1">
      <c r="A36" s="21" t="s">
        <v>237</v>
      </c>
      <c r="B36" s="21"/>
      <c r="C36" s="21"/>
      <c r="D36" s="21"/>
      <c r="E36" s="21"/>
      <c r="F36" s="21"/>
      <c r="G36" s="21"/>
      <c r="H36" s="20" t="s">
        <v>58</v>
      </c>
      <c r="I36" s="20"/>
      <c r="J36" s="20"/>
      <c r="K36" s="20"/>
      <c r="M36" s="22" t="s">
        <v>59</v>
      </c>
    </row>
    <row r="37" spans="1:16" ht="48" customHeight="1">
      <c r="A37" s="23" t="s">
        <v>238</v>
      </c>
      <c r="B37" s="23"/>
      <c r="C37" s="23"/>
      <c r="D37" s="23"/>
      <c r="E37" s="23"/>
      <c r="F37" s="23"/>
      <c r="G37" s="23"/>
      <c r="H37" s="24" t="s">
        <v>51</v>
      </c>
      <c r="I37" s="24"/>
      <c r="J37" s="24"/>
      <c r="K37" s="24"/>
      <c r="M37" s="22" t="s">
        <v>61</v>
      </c>
      <c r="N37" s="12">
        <f>vlookup(H37,data_summary_by_question!U2:V7,2, FALSE)</f>
        <v>0</v>
      </c>
      <c r="O37" s="12">
        <f>average(N37:N44)</f>
        <v>0</v>
      </c>
      <c r="P37" s="12">
        <f>H37</f>
        <v>0</v>
      </c>
    </row>
    <row r="38" spans="1:16" ht="48" customHeight="1">
      <c r="A38" s="23" t="s">
        <v>239</v>
      </c>
      <c r="B38" s="23"/>
      <c r="C38" s="23"/>
      <c r="D38" s="23"/>
      <c r="E38" s="23"/>
      <c r="F38" s="23"/>
      <c r="G38" s="23"/>
      <c r="H38" s="24" t="s">
        <v>51</v>
      </c>
      <c r="I38" s="24"/>
      <c r="J38" s="24"/>
      <c r="K38" s="24"/>
      <c r="M38" s="22" t="s">
        <v>61</v>
      </c>
      <c r="N38" s="12">
        <f>vlookup(H38,data_summary_by_question!U2:V7,2, FALSE)</f>
        <v>0</v>
      </c>
      <c r="P38" s="12">
        <f>H38</f>
        <v>0</v>
      </c>
    </row>
    <row r="39" spans="1:16" ht="48" customHeight="1">
      <c r="A39" s="23" t="s">
        <v>240</v>
      </c>
      <c r="B39" s="23"/>
      <c r="C39" s="23"/>
      <c r="D39" s="23"/>
      <c r="E39" s="23"/>
      <c r="F39" s="23"/>
      <c r="G39" s="23"/>
      <c r="H39" s="24" t="s">
        <v>51</v>
      </c>
      <c r="I39" s="24"/>
      <c r="J39" s="24"/>
      <c r="K39" s="24"/>
      <c r="M39" s="22" t="s">
        <v>61</v>
      </c>
      <c r="N39" s="12">
        <f>vlookup(H39,data_summary_by_question!U2:V7,2, FALSE)</f>
        <v>0</v>
      </c>
      <c r="P39" s="12">
        <f>H39</f>
        <v>0</v>
      </c>
    </row>
    <row r="40" spans="1:16" ht="48" customHeight="1">
      <c r="A40" s="23" t="s">
        <v>241</v>
      </c>
      <c r="B40" s="23"/>
      <c r="C40" s="23"/>
      <c r="D40" s="23"/>
      <c r="E40" s="23"/>
      <c r="F40" s="23"/>
      <c r="G40" s="23"/>
      <c r="H40" s="24" t="s">
        <v>51</v>
      </c>
      <c r="I40" s="24"/>
      <c r="J40" s="24"/>
      <c r="K40" s="24"/>
      <c r="M40" s="22" t="s">
        <v>61</v>
      </c>
      <c r="N40" s="12">
        <f>vlookup(H40,data_summary_by_question!U2:V7,2, FALSE)</f>
        <v>0</v>
      </c>
      <c r="P40" s="12">
        <f>H40</f>
        <v>0</v>
      </c>
    </row>
    <row r="41" spans="1:16" ht="48" customHeight="1">
      <c r="A41" s="23" t="s">
        <v>242</v>
      </c>
      <c r="B41" s="23"/>
      <c r="C41" s="23"/>
      <c r="D41" s="23"/>
      <c r="E41" s="23"/>
      <c r="F41" s="23"/>
      <c r="G41" s="23"/>
      <c r="H41" s="24" t="s">
        <v>51</v>
      </c>
      <c r="I41" s="24"/>
      <c r="J41" s="24"/>
      <c r="K41" s="24"/>
      <c r="M41" s="22" t="s">
        <v>61</v>
      </c>
      <c r="N41" s="12">
        <f>vlookup(H41,data_summary_by_question!U2:V7,2, FALSE)</f>
        <v>0</v>
      </c>
      <c r="P41" s="12">
        <f>H41</f>
        <v>0</v>
      </c>
    </row>
    <row r="42" spans="1:16" ht="48" customHeight="1">
      <c r="A42" s="23" t="s">
        <v>243</v>
      </c>
      <c r="B42" s="23"/>
      <c r="C42" s="23"/>
      <c r="D42" s="23"/>
      <c r="E42" s="23"/>
      <c r="F42" s="23"/>
      <c r="G42" s="23"/>
      <c r="H42" s="24" t="s">
        <v>51</v>
      </c>
      <c r="I42" s="24"/>
      <c r="J42" s="24"/>
      <c r="K42" s="24"/>
      <c r="M42" s="22" t="s">
        <v>61</v>
      </c>
      <c r="N42" s="12">
        <f>vlookup(H42,data_summary_by_question!U2:V7,2, FALSE)</f>
        <v>0</v>
      </c>
      <c r="P42" s="12">
        <f>H42</f>
        <v>0</v>
      </c>
    </row>
    <row r="43" spans="1:16" ht="48" customHeight="1">
      <c r="A43" s="23" t="s">
        <v>244</v>
      </c>
      <c r="B43" s="23"/>
      <c r="C43" s="23"/>
      <c r="D43" s="23"/>
      <c r="E43" s="23"/>
      <c r="F43" s="23"/>
      <c r="G43" s="23"/>
      <c r="H43" s="24" t="s">
        <v>51</v>
      </c>
      <c r="I43" s="24"/>
      <c r="J43" s="24"/>
      <c r="K43" s="24"/>
      <c r="M43" s="22" t="s">
        <v>61</v>
      </c>
      <c r="N43" s="12">
        <f>vlookup(H43,data_summary_by_question!U2:V7,2, FALSE)</f>
        <v>0</v>
      </c>
      <c r="P43" s="12">
        <f>H43</f>
        <v>0</v>
      </c>
    </row>
    <row r="44" spans="1:16" ht="48" customHeight="1">
      <c r="A44" s="23" t="s">
        <v>245</v>
      </c>
      <c r="B44" s="23"/>
      <c r="C44" s="23"/>
      <c r="D44" s="23"/>
      <c r="E44" s="23"/>
      <c r="F44" s="23"/>
      <c r="G44" s="23"/>
      <c r="H44" s="24" t="s">
        <v>51</v>
      </c>
      <c r="I44" s="24"/>
      <c r="J44" s="24"/>
      <c r="K44" s="24"/>
      <c r="M44" s="22" t="s">
        <v>61</v>
      </c>
      <c r="N44" s="12">
        <f>vlookup(H44,data_summary_by_question!U2:V7,2, FALSE)</f>
        <v>0</v>
      </c>
      <c r="P44" s="12">
        <f>H44</f>
        <v>0</v>
      </c>
    </row>
    <row r="45" spans="1:16" ht="48" customHeight="1">
      <c r="A45" s="25" t="s">
        <v>67</v>
      </c>
      <c r="B45" s="25"/>
      <c r="C45" s="25"/>
      <c r="D45" s="25"/>
      <c r="E45" s="25"/>
      <c r="F45" s="25"/>
      <c r="G45" s="25"/>
      <c r="H45" s="26" t="s">
        <v>51</v>
      </c>
      <c r="I45" s="26"/>
      <c r="J45" s="26"/>
      <c r="K45" s="26"/>
      <c r="M45" s="26" t="s">
        <v>68</v>
      </c>
    </row>
    <row r="47" spans="1:16" ht="48" customHeight="1">
      <c r="A47" s="21" t="s">
        <v>246</v>
      </c>
      <c r="B47" s="21"/>
      <c r="C47" s="21"/>
      <c r="D47" s="21"/>
      <c r="E47" s="21"/>
      <c r="F47" s="21"/>
      <c r="G47" s="21"/>
      <c r="H47" s="20" t="s">
        <v>58</v>
      </c>
      <c r="I47" s="20"/>
      <c r="J47" s="20"/>
      <c r="K47" s="20"/>
      <c r="M47" s="22" t="s">
        <v>59</v>
      </c>
    </row>
    <row r="48" spans="1:16" ht="48" customHeight="1">
      <c r="A48" s="23" t="s">
        <v>247</v>
      </c>
      <c r="B48" s="23"/>
      <c r="C48" s="23"/>
      <c r="D48" s="23"/>
      <c r="E48" s="23"/>
      <c r="F48" s="23"/>
      <c r="G48" s="23"/>
      <c r="H48" s="24" t="s">
        <v>51</v>
      </c>
      <c r="I48" s="24"/>
      <c r="J48" s="24"/>
      <c r="K48" s="24"/>
      <c r="M48" s="22" t="s">
        <v>61</v>
      </c>
      <c r="N48" s="12">
        <f>vlookup(H48,data_summary_by_question!U2:V7,2, FALSE)</f>
        <v>0</v>
      </c>
      <c r="O48" s="12">
        <f>average(N48:N49)</f>
        <v>0</v>
      </c>
      <c r="P48" s="12">
        <f>H48</f>
        <v>0</v>
      </c>
    </row>
    <row r="49" spans="1:16" ht="48" customHeight="1">
      <c r="A49" s="23" t="s">
        <v>248</v>
      </c>
      <c r="B49" s="23"/>
      <c r="C49" s="23"/>
      <c r="D49" s="23"/>
      <c r="E49" s="23"/>
      <c r="F49" s="23"/>
      <c r="G49" s="23"/>
      <c r="H49" s="24" t="s">
        <v>51</v>
      </c>
      <c r="I49" s="24"/>
      <c r="J49" s="24"/>
      <c r="K49" s="24"/>
      <c r="M49" s="22" t="s">
        <v>61</v>
      </c>
      <c r="N49" s="12">
        <f>vlookup(H49,data_summary_by_question!U2:V7,2, FALSE)</f>
        <v>0</v>
      </c>
      <c r="P49" s="12">
        <f>H49</f>
        <v>0</v>
      </c>
    </row>
    <row r="50" spans="1:16" ht="48" customHeight="1">
      <c r="A50" s="25" t="s">
        <v>67</v>
      </c>
      <c r="B50" s="25"/>
      <c r="C50" s="25"/>
      <c r="D50" s="25"/>
      <c r="E50" s="25"/>
      <c r="F50" s="25"/>
      <c r="G50" s="25"/>
      <c r="H50" s="26" t="s">
        <v>51</v>
      </c>
      <c r="I50" s="26"/>
      <c r="J50" s="26"/>
      <c r="K50" s="26"/>
      <c r="M50" s="26" t="s">
        <v>68</v>
      </c>
    </row>
    <row r="52" spans="1:16" ht="48" customHeight="1">
      <c r="A52" s="21" t="s">
        <v>249</v>
      </c>
      <c r="B52" s="21"/>
      <c r="C52" s="21"/>
      <c r="D52" s="21"/>
      <c r="E52" s="21"/>
      <c r="F52" s="21"/>
      <c r="G52" s="21"/>
      <c r="H52" s="20" t="s">
        <v>58</v>
      </c>
      <c r="I52" s="20"/>
      <c r="J52" s="20"/>
      <c r="K52" s="20"/>
      <c r="M52" s="22" t="s">
        <v>59</v>
      </c>
    </row>
    <row r="53" spans="1:16" ht="48" customHeight="1">
      <c r="A53" s="23" t="s">
        <v>250</v>
      </c>
      <c r="B53" s="23"/>
      <c r="C53" s="23"/>
      <c r="D53" s="23"/>
      <c r="E53" s="23"/>
      <c r="F53" s="23"/>
      <c r="G53" s="23"/>
      <c r="H53" s="24" t="s">
        <v>51</v>
      </c>
      <c r="I53" s="24"/>
      <c r="J53" s="24"/>
      <c r="K53" s="24"/>
      <c r="M53" s="22" t="s">
        <v>61</v>
      </c>
      <c r="N53" s="12">
        <f>vlookup(H53,data_summary_by_question!U2:V7,2, FALSE)</f>
        <v>0</v>
      </c>
      <c r="O53" s="12">
        <f>average(N53:N67)</f>
        <v>0</v>
      </c>
      <c r="P53" s="12">
        <f>H53</f>
        <v>0</v>
      </c>
    </row>
    <row r="54" spans="1:16" ht="48" customHeight="1">
      <c r="A54" s="23" t="s">
        <v>251</v>
      </c>
      <c r="B54" s="23"/>
      <c r="C54" s="23"/>
      <c r="D54" s="23"/>
      <c r="E54" s="23"/>
      <c r="F54" s="23"/>
      <c r="G54" s="23"/>
      <c r="H54" s="24" t="s">
        <v>51</v>
      </c>
      <c r="I54" s="24"/>
      <c r="J54" s="24"/>
      <c r="K54" s="24"/>
      <c r="M54" s="22" t="s">
        <v>61</v>
      </c>
      <c r="N54" s="12">
        <f>vlookup(H54,data_summary_by_question!U2:V7,2, FALSE)</f>
        <v>0</v>
      </c>
      <c r="P54" s="12">
        <f>H54</f>
        <v>0</v>
      </c>
    </row>
    <row r="55" spans="1:16" ht="48" customHeight="1">
      <c r="A55" s="23" t="s">
        <v>252</v>
      </c>
      <c r="B55" s="23"/>
      <c r="C55" s="23"/>
      <c r="D55" s="23"/>
      <c r="E55" s="23"/>
      <c r="F55" s="23"/>
      <c r="G55" s="23"/>
      <c r="H55" s="24" t="s">
        <v>51</v>
      </c>
      <c r="I55" s="24"/>
      <c r="J55" s="24"/>
      <c r="K55" s="24"/>
      <c r="M55" s="22" t="s">
        <v>61</v>
      </c>
      <c r="N55" s="12">
        <f>vlookup(H55,data_summary_by_question!U2:V7,2, FALSE)</f>
        <v>0</v>
      </c>
      <c r="P55" s="12">
        <f>H55</f>
        <v>0</v>
      </c>
    </row>
    <row r="56" spans="1:16" ht="48" customHeight="1">
      <c r="A56" s="23" t="s">
        <v>253</v>
      </c>
      <c r="B56" s="23"/>
      <c r="C56" s="23"/>
      <c r="D56" s="23"/>
      <c r="E56" s="23"/>
      <c r="F56" s="23"/>
      <c r="G56" s="23"/>
      <c r="H56" s="24" t="s">
        <v>51</v>
      </c>
      <c r="I56" s="24"/>
      <c r="J56" s="24"/>
      <c r="K56" s="24"/>
      <c r="M56" s="22" t="s">
        <v>61</v>
      </c>
      <c r="N56" s="12">
        <f>vlookup(H56,data_summary_by_question!U2:V7,2, FALSE)</f>
        <v>0</v>
      </c>
      <c r="P56" s="12">
        <f>H56</f>
        <v>0</v>
      </c>
    </row>
    <row r="57" spans="1:16" ht="48" customHeight="1">
      <c r="A57" s="23" t="s">
        <v>254</v>
      </c>
      <c r="B57" s="23"/>
      <c r="C57" s="23"/>
      <c r="D57" s="23"/>
      <c r="E57" s="23"/>
      <c r="F57" s="23"/>
      <c r="G57" s="23"/>
      <c r="H57" s="24" t="s">
        <v>51</v>
      </c>
      <c r="I57" s="24"/>
      <c r="J57" s="24"/>
      <c r="K57" s="24"/>
      <c r="M57" s="22" t="s">
        <v>61</v>
      </c>
      <c r="N57" s="12">
        <f>vlookup(H57,data_summary_by_question!U2:V7,2, FALSE)</f>
        <v>0</v>
      </c>
      <c r="P57" s="12">
        <f>H57</f>
        <v>0</v>
      </c>
    </row>
    <row r="58" spans="1:16" ht="48" customHeight="1">
      <c r="A58" s="23" t="s">
        <v>255</v>
      </c>
      <c r="B58" s="23"/>
      <c r="C58" s="23"/>
      <c r="D58" s="23"/>
      <c r="E58" s="23"/>
      <c r="F58" s="23"/>
      <c r="G58" s="23"/>
      <c r="H58" s="24" t="s">
        <v>51</v>
      </c>
      <c r="I58" s="24"/>
      <c r="J58" s="24"/>
      <c r="K58" s="24"/>
      <c r="M58" s="22" t="s">
        <v>61</v>
      </c>
      <c r="N58" s="12">
        <f>vlookup(H58,data_summary_by_question!U2:V7,2, FALSE)</f>
        <v>0</v>
      </c>
      <c r="P58" s="12">
        <f>H58</f>
        <v>0</v>
      </c>
    </row>
    <row r="59" spans="1:16" ht="48" customHeight="1">
      <c r="A59" s="23" t="s">
        <v>256</v>
      </c>
      <c r="B59" s="23"/>
      <c r="C59" s="23"/>
      <c r="D59" s="23"/>
      <c r="E59" s="23"/>
      <c r="F59" s="23"/>
      <c r="G59" s="23"/>
      <c r="H59" s="24" t="s">
        <v>51</v>
      </c>
      <c r="I59" s="24"/>
      <c r="J59" s="24"/>
      <c r="K59" s="24"/>
      <c r="M59" s="22" t="s">
        <v>61</v>
      </c>
      <c r="N59" s="12">
        <f>vlookup(H59,data_summary_by_question!U2:V7,2, FALSE)</f>
        <v>0</v>
      </c>
      <c r="P59" s="12">
        <f>H59</f>
        <v>0</v>
      </c>
    </row>
    <row r="60" spans="1:16" ht="48" customHeight="1">
      <c r="A60" s="23" t="s">
        <v>257</v>
      </c>
      <c r="B60" s="23"/>
      <c r="C60" s="23"/>
      <c r="D60" s="23"/>
      <c r="E60" s="23"/>
      <c r="F60" s="23"/>
      <c r="G60" s="23"/>
      <c r="H60" s="24" t="s">
        <v>51</v>
      </c>
      <c r="I60" s="24"/>
      <c r="J60" s="24"/>
      <c r="K60" s="24"/>
      <c r="M60" s="22" t="s">
        <v>61</v>
      </c>
      <c r="N60" s="12">
        <f>vlookup(H60,data_summary_by_question!U2:V7,2, FALSE)</f>
        <v>0</v>
      </c>
      <c r="P60" s="12">
        <f>H60</f>
        <v>0</v>
      </c>
    </row>
    <row r="61" spans="1:16" ht="48" customHeight="1">
      <c r="A61" s="23" t="s">
        <v>258</v>
      </c>
      <c r="B61" s="23"/>
      <c r="C61" s="23"/>
      <c r="D61" s="23"/>
      <c r="E61" s="23"/>
      <c r="F61" s="23"/>
      <c r="G61" s="23"/>
      <c r="H61" s="24" t="s">
        <v>51</v>
      </c>
      <c r="I61" s="24"/>
      <c r="J61" s="24"/>
      <c r="K61" s="24"/>
      <c r="M61" s="22" t="s">
        <v>61</v>
      </c>
      <c r="N61" s="12">
        <f>vlookup(H61,data_summary_by_question!U2:V7,2, FALSE)</f>
        <v>0</v>
      </c>
      <c r="P61" s="12">
        <f>H61</f>
        <v>0</v>
      </c>
    </row>
    <row r="62" spans="1:16" ht="48" customHeight="1">
      <c r="A62" s="23" t="s">
        <v>259</v>
      </c>
      <c r="B62" s="23"/>
      <c r="C62" s="23"/>
      <c r="D62" s="23"/>
      <c r="E62" s="23"/>
      <c r="F62" s="23"/>
      <c r="G62" s="23"/>
      <c r="H62" s="24" t="s">
        <v>51</v>
      </c>
      <c r="I62" s="24"/>
      <c r="J62" s="24"/>
      <c r="K62" s="24"/>
      <c r="M62" s="22" t="s">
        <v>61</v>
      </c>
      <c r="N62" s="12">
        <f>vlookup(H62,data_summary_by_question!U2:V7,2, FALSE)</f>
        <v>0</v>
      </c>
      <c r="P62" s="12">
        <f>H62</f>
        <v>0</v>
      </c>
    </row>
    <row r="63" spans="1:16" ht="48" customHeight="1">
      <c r="A63" s="23" t="s">
        <v>260</v>
      </c>
      <c r="B63" s="23"/>
      <c r="C63" s="23"/>
      <c r="D63" s="23"/>
      <c r="E63" s="23"/>
      <c r="F63" s="23"/>
      <c r="G63" s="23"/>
      <c r="H63" s="24" t="s">
        <v>51</v>
      </c>
      <c r="I63" s="24"/>
      <c r="J63" s="24"/>
      <c r="K63" s="24"/>
      <c r="M63" s="22" t="s">
        <v>61</v>
      </c>
      <c r="N63" s="12">
        <f>vlookup(H63,data_summary_by_question!U2:V7,2, FALSE)</f>
        <v>0</v>
      </c>
      <c r="P63" s="12">
        <f>H63</f>
        <v>0</v>
      </c>
    </row>
    <row r="64" spans="1:16" ht="48" customHeight="1">
      <c r="A64" s="23" t="s">
        <v>261</v>
      </c>
      <c r="B64" s="23"/>
      <c r="C64" s="23"/>
      <c r="D64" s="23"/>
      <c r="E64" s="23"/>
      <c r="F64" s="23"/>
      <c r="G64" s="23"/>
      <c r="H64" s="24" t="s">
        <v>51</v>
      </c>
      <c r="I64" s="24"/>
      <c r="J64" s="24"/>
      <c r="K64" s="24"/>
      <c r="M64" s="22" t="s">
        <v>61</v>
      </c>
      <c r="N64" s="12">
        <f>vlookup(H64,data_summary_by_question!U2:V7,2, FALSE)</f>
        <v>0</v>
      </c>
      <c r="P64" s="12">
        <f>H64</f>
        <v>0</v>
      </c>
    </row>
    <row r="65" spans="1:16" ht="48" customHeight="1">
      <c r="A65" s="23" t="s">
        <v>262</v>
      </c>
      <c r="B65" s="23"/>
      <c r="C65" s="23"/>
      <c r="D65" s="23"/>
      <c r="E65" s="23"/>
      <c r="F65" s="23"/>
      <c r="G65" s="23"/>
      <c r="H65" s="24" t="s">
        <v>51</v>
      </c>
      <c r="I65" s="24"/>
      <c r="J65" s="24"/>
      <c r="K65" s="24"/>
      <c r="M65" s="22" t="s">
        <v>61</v>
      </c>
      <c r="N65" s="12">
        <f>vlookup(H65,data_summary_by_question!U2:V7,2, FALSE)</f>
        <v>0</v>
      </c>
      <c r="P65" s="12">
        <f>H65</f>
        <v>0</v>
      </c>
    </row>
    <row r="66" spans="1:16" ht="48" customHeight="1">
      <c r="A66" s="23" t="s">
        <v>263</v>
      </c>
      <c r="B66" s="23"/>
      <c r="C66" s="23"/>
      <c r="D66" s="23"/>
      <c r="E66" s="23"/>
      <c r="F66" s="23"/>
      <c r="G66" s="23"/>
      <c r="H66" s="24" t="s">
        <v>51</v>
      </c>
      <c r="I66" s="24"/>
      <c r="J66" s="24"/>
      <c r="K66" s="24"/>
      <c r="M66" s="22" t="s">
        <v>61</v>
      </c>
      <c r="N66" s="12">
        <f>vlookup(H66,data_summary_by_question!U2:V7,2, FALSE)</f>
        <v>0</v>
      </c>
      <c r="P66" s="12">
        <f>H66</f>
        <v>0</v>
      </c>
    </row>
    <row r="67" spans="1:16" ht="48" customHeight="1">
      <c r="A67" s="23" t="s">
        <v>264</v>
      </c>
      <c r="B67" s="23"/>
      <c r="C67" s="23"/>
      <c r="D67" s="23"/>
      <c r="E67" s="23"/>
      <c r="F67" s="23"/>
      <c r="G67" s="23"/>
      <c r="H67" s="24" t="s">
        <v>51</v>
      </c>
      <c r="I67" s="24"/>
      <c r="J67" s="24"/>
      <c r="K67" s="24"/>
      <c r="M67" s="22" t="s">
        <v>61</v>
      </c>
      <c r="N67" s="12">
        <f>vlookup(H67,data_summary_by_question!U2:V7,2, FALSE)</f>
        <v>0</v>
      </c>
      <c r="P67" s="12">
        <f>H67</f>
        <v>0</v>
      </c>
    </row>
    <row r="68" spans="1:16" ht="48" customHeight="1">
      <c r="A68" s="25" t="s">
        <v>67</v>
      </c>
      <c r="B68" s="25"/>
      <c r="C68" s="25"/>
      <c r="D68" s="25"/>
      <c r="E68" s="25"/>
      <c r="F68" s="25"/>
      <c r="G68" s="25"/>
      <c r="H68" s="26" t="s">
        <v>51</v>
      </c>
      <c r="I68" s="26"/>
      <c r="J68" s="26"/>
      <c r="K68" s="26"/>
      <c r="M68" s="26" t="s">
        <v>68</v>
      </c>
    </row>
    <row r="70" spans="1:16" ht="48" customHeight="1">
      <c r="A70" s="21" t="s">
        <v>265</v>
      </c>
      <c r="B70" s="21"/>
      <c r="C70" s="21"/>
      <c r="D70" s="21"/>
      <c r="E70" s="21"/>
      <c r="F70" s="21"/>
      <c r="G70" s="21"/>
      <c r="H70" s="20" t="s">
        <v>58</v>
      </c>
      <c r="I70" s="20"/>
      <c r="J70" s="20"/>
      <c r="K70" s="20"/>
      <c r="M70" s="22" t="s">
        <v>59</v>
      </c>
    </row>
    <row r="71" spans="1:16" ht="48" customHeight="1">
      <c r="A71" s="23" t="s">
        <v>266</v>
      </c>
      <c r="B71" s="23"/>
      <c r="C71" s="23"/>
      <c r="D71" s="23"/>
      <c r="E71" s="23"/>
      <c r="F71" s="23"/>
      <c r="G71" s="23"/>
      <c r="H71" s="24" t="s">
        <v>51</v>
      </c>
      <c r="I71" s="24"/>
      <c r="J71" s="24"/>
      <c r="K71" s="24"/>
      <c r="M71" s="22" t="s">
        <v>61</v>
      </c>
      <c r="N71" s="12">
        <f>vlookup(H71,data_summary_by_question!U2:V7,2, FALSE)</f>
        <v>0</v>
      </c>
      <c r="O71" s="12">
        <f>average(N71:N73)</f>
        <v>0</v>
      </c>
      <c r="P71" s="12">
        <f>H71</f>
        <v>0</v>
      </c>
    </row>
    <row r="72" spans="1:16" ht="48" customHeight="1">
      <c r="A72" s="23" t="s">
        <v>267</v>
      </c>
      <c r="B72" s="23"/>
      <c r="C72" s="23"/>
      <c r="D72" s="23"/>
      <c r="E72" s="23"/>
      <c r="F72" s="23"/>
      <c r="G72" s="23"/>
      <c r="H72" s="24" t="s">
        <v>51</v>
      </c>
      <c r="I72" s="24"/>
      <c r="J72" s="24"/>
      <c r="K72" s="24"/>
      <c r="M72" s="22" t="s">
        <v>61</v>
      </c>
      <c r="N72" s="12">
        <f>vlookup(H72,data_summary_by_question!U2:V7,2, FALSE)</f>
        <v>0</v>
      </c>
      <c r="P72" s="12">
        <f>H72</f>
        <v>0</v>
      </c>
    </row>
    <row r="73" spans="1:16" ht="48" customHeight="1">
      <c r="A73" s="23" t="s">
        <v>268</v>
      </c>
      <c r="B73" s="23"/>
      <c r="C73" s="23"/>
      <c r="D73" s="23"/>
      <c r="E73" s="23"/>
      <c r="F73" s="23"/>
      <c r="G73" s="23"/>
      <c r="H73" s="24" t="s">
        <v>51</v>
      </c>
      <c r="I73" s="24"/>
      <c r="J73" s="24"/>
      <c r="K73" s="24"/>
      <c r="M73" s="22" t="s">
        <v>61</v>
      </c>
      <c r="N73" s="12">
        <f>vlookup(H73,data_summary_by_question!U2:V7,2, FALSE)</f>
        <v>0</v>
      </c>
      <c r="P73" s="12">
        <f>H73</f>
        <v>0</v>
      </c>
    </row>
    <row r="74" spans="1:16" ht="48" customHeight="1">
      <c r="A74" s="25" t="s">
        <v>67</v>
      </c>
      <c r="B74" s="25"/>
      <c r="C74" s="25"/>
      <c r="D74" s="25"/>
      <c r="E74" s="25"/>
      <c r="F74" s="25"/>
      <c r="G74" s="25"/>
      <c r="H74" s="26" t="s">
        <v>51</v>
      </c>
      <c r="I74" s="26"/>
      <c r="J74" s="26"/>
      <c r="K74" s="26"/>
      <c r="M74" s="26" t="s">
        <v>68</v>
      </c>
    </row>
    <row r="76" spans="1:16" ht="48" customHeight="1">
      <c r="A76" s="21" t="s">
        <v>269</v>
      </c>
      <c r="B76" s="21"/>
      <c r="C76" s="21"/>
      <c r="D76" s="21"/>
      <c r="E76" s="21"/>
      <c r="F76" s="21"/>
      <c r="G76" s="21"/>
      <c r="H76" s="20" t="s">
        <v>58</v>
      </c>
      <c r="I76" s="20"/>
      <c r="J76" s="20"/>
      <c r="K76" s="20"/>
      <c r="M76" s="22" t="s">
        <v>59</v>
      </c>
    </row>
    <row r="77" spans="1:16" ht="48" customHeight="1">
      <c r="A77" s="23" t="s">
        <v>270</v>
      </c>
      <c r="B77" s="23"/>
      <c r="C77" s="23"/>
      <c r="D77" s="23"/>
      <c r="E77" s="23"/>
      <c r="F77" s="23"/>
      <c r="G77" s="23"/>
      <c r="H77" s="24" t="s">
        <v>51</v>
      </c>
      <c r="I77" s="24"/>
      <c r="J77" s="24"/>
      <c r="K77" s="24"/>
      <c r="M77" s="22" t="s">
        <v>61</v>
      </c>
      <c r="N77" s="12">
        <f>vlookup(H77,data_summary_by_question!U2:V7,2, FALSE)</f>
        <v>0</v>
      </c>
      <c r="O77" s="12">
        <f>average(N77:N79)</f>
        <v>0</v>
      </c>
      <c r="P77" s="12">
        <f>H77</f>
        <v>0</v>
      </c>
    </row>
    <row r="78" spans="1:16" ht="48" customHeight="1">
      <c r="A78" s="23" t="s">
        <v>271</v>
      </c>
      <c r="B78" s="23"/>
      <c r="C78" s="23"/>
      <c r="D78" s="23"/>
      <c r="E78" s="23"/>
      <c r="F78" s="23"/>
      <c r="G78" s="23"/>
      <c r="H78" s="24" t="s">
        <v>51</v>
      </c>
      <c r="I78" s="24"/>
      <c r="J78" s="24"/>
      <c r="K78" s="24"/>
      <c r="M78" s="22" t="s">
        <v>61</v>
      </c>
      <c r="N78" s="12">
        <f>vlookup(H78,data_summary_by_question!U2:V7,2, FALSE)</f>
        <v>0</v>
      </c>
      <c r="P78" s="12">
        <f>H78</f>
        <v>0</v>
      </c>
    </row>
    <row r="79" spans="1:16" ht="48" customHeight="1">
      <c r="A79" s="23" t="s">
        <v>272</v>
      </c>
      <c r="B79" s="23"/>
      <c r="C79" s="23"/>
      <c r="D79" s="23"/>
      <c r="E79" s="23"/>
      <c r="F79" s="23"/>
      <c r="G79" s="23"/>
      <c r="H79" s="24" t="s">
        <v>51</v>
      </c>
      <c r="I79" s="24"/>
      <c r="J79" s="24"/>
      <c r="K79" s="24"/>
      <c r="M79" s="22" t="s">
        <v>61</v>
      </c>
      <c r="N79" s="12">
        <f>vlookup(H79,data_summary_by_question!U2:V7,2, FALSE)</f>
        <v>0</v>
      </c>
      <c r="P79" s="12">
        <f>H79</f>
        <v>0</v>
      </c>
    </row>
    <row r="80" spans="1:16" ht="48" customHeight="1">
      <c r="A80" s="25" t="s">
        <v>67</v>
      </c>
      <c r="B80" s="25"/>
      <c r="C80" s="25"/>
      <c r="D80" s="25"/>
      <c r="E80" s="25"/>
      <c r="F80" s="25"/>
      <c r="G80" s="25"/>
      <c r="H80" s="26" t="s">
        <v>51</v>
      </c>
      <c r="I80" s="26"/>
      <c r="J80" s="26"/>
      <c r="K80" s="26"/>
      <c r="M80" s="26" t="s">
        <v>68</v>
      </c>
    </row>
    <row r="83" spans="1:13" ht="48" customHeight="1">
      <c r="A83" s="25" t="s">
        <v>154</v>
      </c>
      <c r="B83" s="25"/>
      <c r="C83" s="25"/>
      <c r="D83" s="25"/>
      <c r="E83" s="25"/>
      <c r="F83" s="25"/>
      <c r="G83" s="25"/>
      <c r="H83" s="26" t="s">
        <v>51</v>
      </c>
      <c r="I83" s="26"/>
      <c r="J83" s="26"/>
      <c r="K83" s="26"/>
      <c r="M83" s="26" t="s">
        <v>61</v>
      </c>
    </row>
    <row r="85" spans="1:13" ht="48" customHeight="1">
      <c r="A85" s="25" t="s">
        <v>155</v>
      </c>
      <c r="B85" s="25"/>
      <c r="C85" s="25"/>
      <c r="D85" s="25"/>
      <c r="E85" s="25"/>
      <c r="F85" s="25"/>
      <c r="G85" s="25"/>
      <c r="H85" s="26" t="s">
        <v>51</v>
      </c>
      <c r="I85" s="26"/>
      <c r="J85" s="26"/>
      <c r="K85" s="26"/>
      <c r="M85" s="26" t="s">
        <v>61</v>
      </c>
    </row>
    <row r="87" spans="1:13" ht="48" customHeight="1">
      <c r="A87" s="25" t="s">
        <v>156</v>
      </c>
      <c r="B87" s="25"/>
      <c r="C87" s="25"/>
      <c r="D87" s="25"/>
      <c r="E87" s="25"/>
      <c r="F87" s="25"/>
      <c r="G87" s="25"/>
      <c r="H87" s="26" t="s">
        <v>51</v>
      </c>
      <c r="I87" s="26"/>
      <c r="J87" s="26"/>
      <c r="K87" s="26"/>
      <c r="M87" s="26" t="s">
        <v>61</v>
      </c>
    </row>
    <row r="91" spans="1:13" s="12" customFormat="1">
      <c r="A91" s="12" t="s">
        <v>157</v>
      </c>
      <c r="B91" s="12" t="s">
        <v>158</v>
      </c>
      <c r="C91" s="12" t="s">
        <v>159</v>
      </c>
    </row>
    <row r="92" spans="1:13" s="12" customFormat="1">
      <c r="A92" s="12" t="s">
        <v>46</v>
      </c>
      <c r="B92" s="12">
        <f>COUNTIF(P12:P80,A92)</f>
        <v>0</v>
      </c>
      <c r="C92" s="12">
        <f>B92/ B99</f>
        <v>0</v>
      </c>
    </row>
    <row r="93" spans="1:13" s="12" customFormat="1">
      <c r="A93" s="12" t="s">
        <v>47</v>
      </c>
      <c r="B93" s="12">
        <f>COUNTIF(P12:P80,A93)</f>
        <v>0</v>
      </c>
      <c r="C93" s="12">
        <f>B93/ B99</f>
        <v>0</v>
      </c>
    </row>
    <row r="94" spans="1:13" s="12" customFormat="1">
      <c r="A94" s="12" t="s">
        <v>48</v>
      </c>
      <c r="B94" s="12">
        <f>COUNTIF(P12:P80,A94)</f>
        <v>0</v>
      </c>
      <c r="C94" s="12">
        <f>B94/ B99</f>
        <v>0</v>
      </c>
    </row>
    <row r="95" spans="1:13" s="12" customFormat="1">
      <c r="A95" s="12" t="s">
        <v>49</v>
      </c>
      <c r="B95" s="12">
        <f>COUNTIF(P12:P80,A95)</f>
        <v>0</v>
      </c>
      <c r="C95" s="12">
        <f>B95/ B99</f>
        <v>0</v>
      </c>
    </row>
    <row r="96" spans="1:13" s="12" customFormat="1">
      <c r="A96" s="12" t="s">
        <v>50</v>
      </c>
      <c r="B96" s="12">
        <f>COUNTIF(P12:P80,A96)</f>
        <v>0</v>
      </c>
      <c r="C96" s="12">
        <f>B96/ B99</f>
        <v>0</v>
      </c>
    </row>
    <row r="97" spans="1:3" s="12" customFormat="1">
      <c r="A97" s="12" t="s">
        <v>51</v>
      </c>
      <c r="B97" s="12">
        <f>COUNTIF(P12:P80,A97)</f>
        <v>0</v>
      </c>
      <c r="C97" s="12">
        <f>B97/ B99</f>
        <v>0</v>
      </c>
    </row>
    <row r="98" spans="1:3" s="12" customFormat="1"/>
    <row r="99" spans="1:3" s="12" customFormat="1">
      <c r="A99" s="12" t="s">
        <v>160</v>
      </c>
      <c r="B99" s="12">
        <f>SUM(B92:B97)</f>
        <v>0</v>
      </c>
    </row>
    <row r="100" spans="1:3" s="12" customFormat="1"/>
    <row r="101" spans="1:3" s="12" customFormat="1">
      <c r="A101" s="12" t="s">
        <v>161</v>
      </c>
    </row>
    <row r="102" spans="1:3" s="12" customFormat="1">
      <c r="A102" s="12" t="s">
        <v>162</v>
      </c>
      <c r="B102" s="12">
        <f>countifs(O12:O80,"&gt;=1.0", O12:O80,"&lt;=1.0")</f>
        <v>0</v>
      </c>
    </row>
    <row r="103" spans="1:3" s="12" customFormat="1">
      <c r="A103" s="12" t="s">
        <v>163</v>
      </c>
      <c r="B103" s="12">
        <f>countifs(O12:O80,"&gt;=0.75", O12:O80,"&lt;=0.99")</f>
        <v>0</v>
      </c>
    </row>
    <row r="104" spans="1:3" s="12" customFormat="1">
      <c r="A104" s="12" t="s">
        <v>164</v>
      </c>
      <c r="B104" s="12">
        <f>countifs(O12:O80,"&gt;=0.5", O12:O80,"&lt;=0.74")</f>
        <v>0</v>
      </c>
    </row>
    <row r="105" spans="1:3" s="12" customFormat="1">
      <c r="A105" s="12" t="s">
        <v>165</v>
      </c>
      <c r="B105" s="12">
        <f>countifs(O12:O80,"&gt;=0.25", O12:O80,"&lt;=0.49")</f>
        <v>0</v>
      </c>
    </row>
    <row r="106" spans="1:3" s="12" customFormat="1">
      <c r="A106" s="12" t="s">
        <v>166</v>
      </c>
      <c r="B106" s="12">
        <f>countifs(O12:O80,"&gt;=0.0", O12:O80,"&lt;=0.24")</f>
        <v>0</v>
      </c>
    </row>
    <row r="107" spans="1:3" s="12" customFormat="1"/>
    <row r="108" spans="1:3" s="12" customFormat="1">
      <c r="A108" s="12" t="s">
        <v>160</v>
      </c>
      <c r="B108" s="12">
        <f>SUM(B102:B106)</f>
        <v>0</v>
      </c>
    </row>
  </sheetData>
  <sheetProtection password="E4E4" sheet="1" objects="1" scenarios="1"/>
  <mergeCells count="153">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5:G15"/>
    <mergeCell ref="H15:K15"/>
    <mergeCell ref="A16:G16"/>
    <mergeCell ref="H16:K16"/>
    <mergeCell ref="A17:G17"/>
    <mergeCell ref="H17:K17"/>
    <mergeCell ref="A18:G18"/>
    <mergeCell ref="H18:K18"/>
    <mergeCell ref="A20:G20"/>
    <mergeCell ref="H20:K20"/>
    <mergeCell ref="A21:G21"/>
    <mergeCell ref="H21:K21"/>
    <mergeCell ref="A22:G22"/>
    <mergeCell ref="H22:K22"/>
    <mergeCell ref="A23:G23"/>
    <mergeCell ref="H23:K23"/>
    <mergeCell ref="A25:G25"/>
    <mergeCell ref="H25:K25"/>
    <mergeCell ref="A26:G26"/>
    <mergeCell ref="H26:K26"/>
    <mergeCell ref="A27:G27"/>
    <mergeCell ref="H27:K27"/>
    <mergeCell ref="A28:G28"/>
    <mergeCell ref="H28:K28"/>
    <mergeCell ref="A29:G29"/>
    <mergeCell ref="H29:K29"/>
    <mergeCell ref="A30:G30"/>
    <mergeCell ref="H30:K30"/>
    <mergeCell ref="A32:G32"/>
    <mergeCell ref="H32:K32"/>
    <mergeCell ref="A33:G33"/>
    <mergeCell ref="H33:K33"/>
    <mergeCell ref="A34:G34"/>
    <mergeCell ref="H34:K34"/>
    <mergeCell ref="A36:G36"/>
    <mergeCell ref="H36:K36"/>
    <mergeCell ref="A37:G37"/>
    <mergeCell ref="H37:K37"/>
    <mergeCell ref="A38:G38"/>
    <mergeCell ref="H38:K38"/>
    <mergeCell ref="A39:G39"/>
    <mergeCell ref="H39:K39"/>
    <mergeCell ref="A40:G40"/>
    <mergeCell ref="H40:K40"/>
    <mergeCell ref="A41:G41"/>
    <mergeCell ref="H41:K41"/>
    <mergeCell ref="A42:G42"/>
    <mergeCell ref="H42:K42"/>
    <mergeCell ref="A43:G43"/>
    <mergeCell ref="H43:K43"/>
    <mergeCell ref="A44:G44"/>
    <mergeCell ref="H44:K44"/>
    <mergeCell ref="A45:G45"/>
    <mergeCell ref="H45:K45"/>
    <mergeCell ref="A47:G47"/>
    <mergeCell ref="H47:K47"/>
    <mergeCell ref="A48:G48"/>
    <mergeCell ref="H48:K48"/>
    <mergeCell ref="A49:G49"/>
    <mergeCell ref="H49:K49"/>
    <mergeCell ref="A50:G50"/>
    <mergeCell ref="H50:K50"/>
    <mergeCell ref="A52:G52"/>
    <mergeCell ref="H52:K52"/>
    <mergeCell ref="A53:G53"/>
    <mergeCell ref="H53:K53"/>
    <mergeCell ref="A54:G54"/>
    <mergeCell ref="H54:K54"/>
    <mergeCell ref="A55:G55"/>
    <mergeCell ref="H55:K55"/>
    <mergeCell ref="A56:G56"/>
    <mergeCell ref="H56:K56"/>
    <mergeCell ref="A57:G57"/>
    <mergeCell ref="H57:K57"/>
    <mergeCell ref="A58:G58"/>
    <mergeCell ref="H58:K58"/>
    <mergeCell ref="A59:G59"/>
    <mergeCell ref="H59:K59"/>
    <mergeCell ref="A60:G60"/>
    <mergeCell ref="H60:K60"/>
    <mergeCell ref="A61:G61"/>
    <mergeCell ref="H61:K61"/>
    <mergeCell ref="A62:G62"/>
    <mergeCell ref="H62:K62"/>
    <mergeCell ref="A63:G63"/>
    <mergeCell ref="H63:K63"/>
    <mergeCell ref="A64:G64"/>
    <mergeCell ref="H64:K64"/>
    <mergeCell ref="A65:G65"/>
    <mergeCell ref="H65:K65"/>
    <mergeCell ref="A66:G66"/>
    <mergeCell ref="H66:K66"/>
    <mergeCell ref="A67:G67"/>
    <mergeCell ref="H67:K67"/>
    <mergeCell ref="A68:G68"/>
    <mergeCell ref="H68:K68"/>
    <mergeCell ref="A70:G70"/>
    <mergeCell ref="H70:K70"/>
    <mergeCell ref="A71:G71"/>
    <mergeCell ref="H71:K71"/>
    <mergeCell ref="A72:G72"/>
    <mergeCell ref="H72:K72"/>
    <mergeCell ref="A73:G73"/>
    <mergeCell ref="H73:K73"/>
    <mergeCell ref="A74:G74"/>
    <mergeCell ref="H74:K74"/>
    <mergeCell ref="A76:G76"/>
    <mergeCell ref="H76:K76"/>
    <mergeCell ref="A77:G77"/>
    <mergeCell ref="H77:K77"/>
    <mergeCell ref="A78:G78"/>
    <mergeCell ref="H78:K78"/>
    <mergeCell ref="A79:G79"/>
    <mergeCell ref="H79:K79"/>
    <mergeCell ref="A80:G80"/>
    <mergeCell ref="H80:K80"/>
    <mergeCell ref="A83:G83"/>
    <mergeCell ref="H83:K83"/>
    <mergeCell ref="A85:G85"/>
    <mergeCell ref="H85:K85"/>
    <mergeCell ref="A87:G87"/>
    <mergeCell ref="H87:K87"/>
  </mergeCells>
  <dataValidations count="56">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"Yes,It Does Not Apply,Partially,I Have Done An Alternative Approach,No,No Answer"</formula1>
    </dataValidation>
    <dataValidation type="list" allowBlank="1" showInputMessage="1" showErrorMessage="1" sqref="H15">
      <formula1>"Yes,It Does Not Apply,Partially,I Have Done An Alternative Approach,No,No Answer"</formula1>
    </dataValidation>
    <dataValidation type="list" allowBlank="1" showInputMessage="1" showErrorMessage="1" sqref="H16">
      <formula1>"Yes,It Does Not Apply,Partially,I Have Done An Alternative Approach,No,No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"Completed,Partially Completed,Not Yet Started,No Answer"</formula1>
    </dataValidation>
    <dataValidation type="list" allowBlank="1" showInputMessage="1" showErrorMessage="1" sqref="H21">
      <formula1>"Yes,It Does Not Apply,Partially,I Have Done An Alternative Approach,No,No Answer"</formula1>
    </dataValidation>
    <dataValidation type="list" allowBlank="1" showInputMessage="1" showErrorMessage="1" sqref="H22">
      <formula1>"Yes,It Does Not Apply,Partially,I Have Done An Alternative Approach,No,No Answer"</formula1>
    </dataValidation>
    <dataValidation type="list" allowBlank="1" showInputMessage="1" showErrorMessage="1" sqref="H23">
      <formula1>"Completed,Partially Completed,Not Yet Started,No Answer"</formula1>
    </dataValidation>
    <dataValidation type="list" allowBlank="1" showInputMessage="1" showErrorMessage="1" sqref="H26">
      <formula1>"Yes,It Does Not Apply,Partially,I Have Done An Alternative Approach,No,No Answer"</formula1>
    </dataValidation>
    <dataValidation type="list" allowBlank="1" showInputMessage="1" showErrorMessage="1" sqref="H27">
      <formula1>"Yes,It Does Not Apply,Partially,I Have Done An Alternative Approach,No,No Answer"</formula1>
    </dataValidation>
    <dataValidation type="list" allowBlank="1" showInputMessage="1" showErrorMessage="1" sqref="H28">
      <formula1>"Yes,It Does Not Apply,Partially,I Have Done An Alternative Approach,No,No Answer"</formula1>
    </dataValidation>
    <dataValidation type="list" allowBlank="1" showInputMessage="1" showErrorMessage="1" sqref="H29">
      <formula1>"Yes,It Does Not Apply,Partially,I Have Done An Alternative Approach,No,No Answer"</formula1>
    </dataValidation>
    <dataValidation type="list" allowBlank="1" showInputMessage="1" showErrorMessage="1" sqref="H30">
      <formula1>"Completed,Partially Completed,Not Yet Started,No Answer"</formula1>
    </dataValidation>
    <dataValidation type="list" allowBlank="1" showInputMessage="1" showErrorMessage="1" sqref="H33">
      <formula1>"Yes,It Does Not Apply,Partially,I Have Done An Alternative Approach,No,No Answer"</formula1>
    </dataValidation>
    <dataValidation type="list" allowBlank="1" showInputMessage="1" showErrorMessage="1" sqref="H34">
      <formula1>"Completed,Partially Completed,Not Yet Started,No Answer"</formula1>
    </dataValidation>
    <dataValidation type="list" allowBlank="1" showInputMessage="1" showErrorMessage="1" sqref="H37">
      <formula1>"Yes,It Does Not Apply,Partially,I Have Done An Alternative Approach,No,No Answer"</formula1>
    </dataValidation>
    <dataValidation type="list" allowBlank="1" showInputMessage="1" showErrorMessage="1" sqref="H38">
      <formula1>"Yes,It Does Not Apply,Partially,I Have Done An Alternative Approach,No,No Answer"</formula1>
    </dataValidation>
    <dataValidation type="list" allowBlank="1" showInputMessage="1" showErrorMessage="1" sqref="H39">
      <formula1>"Yes,It Does Not Apply,Partially,I Have Done An Alternative Approach,No,No Answer"</formula1>
    </dataValidation>
    <dataValidation type="list" allowBlank="1" showInputMessage="1" showErrorMessage="1" sqref="H40">
      <formula1>"Yes,It Does Not Apply,Partially,I Have Done An Alternative Approach,No,No Answer"</formula1>
    </dataValidation>
    <dataValidation type="list" allowBlank="1" showInputMessage="1" showErrorMessage="1" sqref="H41">
      <formula1>"Yes,It Does Not Apply,Partially,I Have Done An Alternative Approach,No,No Answer"</formula1>
    </dataValidation>
    <dataValidation type="list" allowBlank="1" showInputMessage="1" showErrorMessage="1" sqref="H42">
      <formula1>"Yes,It Does Not Apply,Partially,I Have Done An Alternative Approach,No,No Answer"</formula1>
    </dataValidation>
    <dataValidation type="list" allowBlank="1" showInputMessage="1" showErrorMessage="1" sqref="H43">
      <formula1>"Yes,It Does Not Apply,Partially,I Have Done An Alternative Approach,No,No Answer"</formula1>
    </dataValidation>
    <dataValidation type="list" allowBlank="1" showInputMessage="1" showErrorMessage="1" sqref="H44">
      <formula1>"Yes,It Does Not Apply,Partially,I Have Done An Alternative Approach,No,No Answer"</formula1>
    </dataValidation>
    <dataValidation type="list" allowBlank="1" showInputMessage="1" showErrorMessage="1" sqref="H45">
      <formula1>"Completed,Partially Completed,Not Yet Started,No Answer"</formula1>
    </dataValidation>
    <dataValidation type="list" allowBlank="1" showInputMessage="1" showErrorMessage="1" sqref="H48">
      <formula1>"Yes,It Does Not Apply,Partially,I Have Done An Alternative Approach,No,No Answer"</formula1>
    </dataValidation>
    <dataValidation type="list" allowBlank="1" showInputMessage="1" showErrorMessage="1" sqref="H49">
      <formula1>"Yes,It Does Not Apply,Partially,I Have Done An Alternative Approach,No,No Answer"</formula1>
    </dataValidation>
    <dataValidation type="list" allowBlank="1" showInputMessage="1" showErrorMessage="1" sqref="H50">
      <formula1>"Completed,Partially Completed,Not Yet Started,No Answer"</formula1>
    </dataValidation>
    <dataValidation type="list" allowBlank="1" showInputMessage="1" showErrorMessage="1" sqref="H53">
      <formula1>"Yes,It Does Not Apply,Partially,I Have Done An Alternative Approach,No,No Answer"</formula1>
    </dataValidation>
    <dataValidation type="list" allowBlank="1" showInputMessage="1" showErrorMessage="1" sqref="H54">
      <formula1>"Yes,It Does Not Apply,Partially,I Have Done An Alternative Approach,No,No Answer"</formula1>
    </dataValidation>
    <dataValidation type="list" allowBlank="1" showInputMessage="1" showErrorMessage="1" sqref="H55">
      <formula1>"Yes,It Does Not Apply,Partially,I Have Done An Alternative Approach,No,No Answer"</formula1>
    </dataValidation>
    <dataValidation type="list" allowBlank="1" showInputMessage="1" showErrorMessage="1" sqref="H56">
      <formula1>"Yes,It Does Not Apply,Partially,I Have Done An Alternative Approach,No,No Answer"</formula1>
    </dataValidation>
    <dataValidation type="list" allowBlank="1" showInputMessage="1" showErrorMessage="1" sqref="H57">
      <formula1>"Yes,It Does Not Apply,Partially,I Have Done An Alternative Approach,No,No Answer"</formula1>
    </dataValidation>
    <dataValidation type="list" allowBlank="1" showInputMessage="1" showErrorMessage="1" sqref="H58">
      <formula1>"Yes,It Does Not Apply,Partially,I Have Done An Alternative Approach,No,No Answer"</formula1>
    </dataValidation>
    <dataValidation type="list" allowBlank="1" showInputMessage="1" showErrorMessage="1" sqref="H59">
      <formula1>"Yes,It Does Not Apply,Partially,I Have Done An Alternative Approach,No,No Answer"</formula1>
    </dataValidation>
    <dataValidation type="list" allowBlank="1" showInputMessage="1" showErrorMessage="1" sqref="H60">
      <formula1>"Yes,It Does Not Apply,Partially,I Have Done An Alternative Approach,No,No Answer"</formula1>
    </dataValidation>
    <dataValidation type="list" allowBlank="1" showInputMessage="1" showErrorMessage="1" sqref="H61">
      <formula1>"Yes,It Does Not Apply,Partially,I Have Done An Alternative Approach,No,No Answer"</formula1>
    </dataValidation>
    <dataValidation type="list" allowBlank="1" showInputMessage="1" showErrorMessage="1" sqref="H62">
      <formula1>"Yes,It Does Not Apply,Partially,I Have Done An Alternative Approach,No,No Answer"</formula1>
    </dataValidation>
    <dataValidation type="list" allowBlank="1" showInputMessage="1" showErrorMessage="1" sqref="H63">
      <formula1>"Yes,It Does Not Apply,Partially,I Have Done An Alternative Approach,No,No Answer"</formula1>
    </dataValidation>
    <dataValidation type="list" allowBlank="1" showInputMessage="1" showErrorMessage="1" sqref="H64">
      <formula1>"Yes,It Does Not Apply,Partially,I Have Done An Alternative Approach,No,No Answer"</formula1>
    </dataValidation>
    <dataValidation type="list" allowBlank="1" showInputMessage="1" showErrorMessage="1" sqref="H65">
      <formula1>"Yes,It Does Not Apply,Partially,I Have Done An Alternative Approach,No,No Answer"</formula1>
    </dataValidation>
    <dataValidation type="list" allowBlank="1" showInputMessage="1" showErrorMessage="1" sqref="H66">
      <formula1>"Yes,It Does Not Apply,Partially,I Have Done An Alternative Approach,No,No Answer"</formula1>
    </dataValidation>
    <dataValidation type="list" allowBlank="1" showInputMessage="1" showErrorMessage="1" sqref="H67">
      <formula1>"Yes,It Does Not Apply,Partially,I Have Done An Alternative Approach,No,No Answer"</formula1>
    </dataValidation>
    <dataValidation type="list" allowBlank="1" showInputMessage="1" showErrorMessage="1" sqref="H68">
      <formula1>"Completed,Partially Completed,Not Yet Started,No Answer"</formula1>
    </dataValidation>
    <dataValidation type="list" allowBlank="1" showInputMessage="1" showErrorMessage="1" sqref="H71">
      <formula1>"Yes,It Does Not Apply,Partially,I Have Done An Alternative Approach,No,No Answer"</formula1>
    </dataValidation>
    <dataValidation type="list" allowBlank="1" showInputMessage="1" showErrorMessage="1" sqref="H72">
      <formula1>"Yes,It Does Not Apply,Partially,I Have Done An Alternative Approach,No,No Answer"</formula1>
    </dataValidation>
    <dataValidation type="list" allowBlank="1" showInputMessage="1" showErrorMessage="1" sqref="H73">
      <formula1>"Yes,It Does Not Apply,Partially,I Have Done An Alternative Approach,No,No Answer"</formula1>
    </dataValidation>
    <dataValidation type="list" allowBlank="1" showInputMessage="1" showErrorMessage="1" sqref="H74">
      <formula1>"Completed,Partially Completed,Not Yet Started,No Answer"</formula1>
    </dataValidation>
    <dataValidation type="list" allowBlank="1" showInputMessage="1" showErrorMessage="1" sqref="H77">
      <formula1>"Yes,It Does Not Apply,Partially,I Have Done An Alternative Approach,No,No Answer"</formula1>
    </dataValidation>
    <dataValidation type="list" allowBlank="1" showInputMessage="1" showErrorMessage="1" sqref="H78">
      <formula1>"Yes,It Does Not Apply,Partially,I Have Done An Alternative Approach,No,No Answer"</formula1>
    </dataValidation>
    <dataValidation type="list" allowBlank="1" showInputMessage="1" showErrorMessage="1" sqref="H79">
      <formula1>"Yes,It Does Not Apply,Partially,I Have Done An Alternative Approach,No,No Answer"</formula1>
    </dataValidation>
    <dataValidation type="list" allowBlank="1" showInputMessage="1" showErrorMessage="1" sqref="H80">
      <formula1>"Completed,Partially Completed,Not Yet Started,No Answer"</formula1>
    </dataValidation>
    <dataValidation type="list" allowBlank="1" showInputMessage="1" showErrorMessage="1" sqref="H83">
      <formula1>"Completed,Partially Completed,Not Yet Started,No Answer"</formula1>
    </dataValidation>
    <dataValidation type="list" allowBlank="1" showInputMessage="1" showErrorMessage="1" sqref="H85">
      <formula1>"Completed,Partially Completed,Not Yet Started,No Answer"</formula1>
    </dataValidation>
    <dataValidation type="list" allowBlank="1" showInputMessage="1" showErrorMessage="1" sqref="H87">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20" r:id="rId2"/>
    <hyperlink ref="A25" r:id="rId3"/>
    <hyperlink ref="A32" r:id="rId4"/>
    <hyperlink ref="A36" r:id="rId5"/>
    <hyperlink ref="A47" r:id="rId6"/>
    <hyperlink ref="A52" r:id="rId7"/>
    <hyperlink ref="A70" r:id="rId8"/>
    <hyperlink ref="A76" r:id="rId9"/>
  </hyperlinks>
  <pageMargins left="0.7" right="0.7" top="0.75" bottom="0.75" header="0.3" footer="0.3"/>
  <drawing r:id="rId10"/>
</worksheet>
</file>

<file path=xl/worksheets/sheet6.xml><?xml version="1.0" encoding="utf-8"?>
<worksheet xmlns="http://schemas.openxmlformats.org/spreadsheetml/2006/main" xmlns:r="http://schemas.openxmlformats.org/officeDocument/2006/relationships">
  <dimension ref="A1:P95"/>
  <sheetViews>
    <sheetView showGridLines="0" workbookViewId="0"/>
  </sheetViews>
  <sheetFormatPr defaultRowHeight="15"/>
  <cols>
    <col min="12" max="12" width="3.7109375" customWidth="1"/>
    <col min="13" max="13" width="61.7109375" customWidth="1"/>
    <col min="14" max="16" width="9.140625" style="12"/>
  </cols>
  <sheetData>
    <row r="1" spans="1:16">
      <c r="A1" s="13" t="s">
        <v>273</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274</v>
      </c>
      <c r="B11" s="21"/>
      <c r="C11" s="21"/>
      <c r="D11" s="21"/>
      <c r="E11" s="21"/>
      <c r="F11" s="21"/>
      <c r="G11" s="21"/>
      <c r="H11" s="20" t="s">
        <v>58</v>
      </c>
      <c r="I11" s="20"/>
      <c r="J11" s="20"/>
      <c r="K11" s="20"/>
      <c r="M11" s="22" t="s">
        <v>59</v>
      </c>
    </row>
    <row r="12" spans="1:16" ht="48" customHeight="1">
      <c r="A12" s="23" t="s">
        <v>275</v>
      </c>
      <c r="B12" s="23"/>
      <c r="C12" s="23"/>
      <c r="D12" s="23"/>
      <c r="E12" s="23"/>
      <c r="F12" s="23"/>
      <c r="G12" s="23"/>
      <c r="H12" s="24" t="s">
        <v>51</v>
      </c>
      <c r="I12" s="24"/>
      <c r="J12" s="24"/>
      <c r="K12" s="24"/>
      <c r="M12" s="22" t="s">
        <v>61</v>
      </c>
      <c r="N12" s="12">
        <f>vlookup(H12,data_summary_by_question!U2:V7,2, FALSE)</f>
        <v>0</v>
      </c>
      <c r="O12" s="12">
        <f>average(N12:N14)</f>
        <v>0</v>
      </c>
      <c r="P12" s="12">
        <f>H12</f>
        <v>0</v>
      </c>
    </row>
    <row r="13" spans="1:16" ht="48" customHeight="1">
      <c r="A13" s="23" t="s">
        <v>276</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3" t="s">
        <v>277</v>
      </c>
      <c r="B14" s="23"/>
      <c r="C14" s="23"/>
      <c r="D14" s="23"/>
      <c r="E14" s="23"/>
      <c r="F14" s="23"/>
      <c r="G14" s="23"/>
      <c r="H14" s="24" t="s">
        <v>51</v>
      </c>
      <c r="I14" s="24"/>
      <c r="J14" s="24"/>
      <c r="K14" s="24"/>
      <c r="M14" s="22" t="s">
        <v>61</v>
      </c>
      <c r="N14" s="12">
        <f>vlookup(H14,data_summary_by_question!U2:V7,2, FALSE)</f>
        <v>0</v>
      </c>
      <c r="P14" s="12">
        <f>H14</f>
        <v>0</v>
      </c>
    </row>
    <row r="15" spans="1:16" ht="48" customHeight="1">
      <c r="A15" s="25" t="s">
        <v>67</v>
      </c>
      <c r="B15" s="25"/>
      <c r="C15" s="25"/>
      <c r="D15" s="25"/>
      <c r="E15" s="25"/>
      <c r="F15" s="25"/>
      <c r="G15" s="25"/>
      <c r="H15" s="26" t="s">
        <v>51</v>
      </c>
      <c r="I15" s="26"/>
      <c r="J15" s="26"/>
      <c r="K15" s="26"/>
      <c r="M15" s="26" t="s">
        <v>68</v>
      </c>
    </row>
    <row r="17" spans="1:16" ht="48" customHeight="1">
      <c r="A17" s="21" t="s">
        <v>278</v>
      </c>
      <c r="B17" s="21"/>
      <c r="C17" s="21"/>
      <c r="D17" s="21"/>
      <c r="E17" s="21"/>
      <c r="F17" s="21"/>
      <c r="G17" s="21"/>
      <c r="H17" s="20" t="s">
        <v>58</v>
      </c>
      <c r="I17" s="20"/>
      <c r="J17" s="20"/>
      <c r="K17" s="20"/>
      <c r="M17" s="22" t="s">
        <v>59</v>
      </c>
    </row>
    <row r="18" spans="1:16" ht="48" customHeight="1">
      <c r="A18" s="23" t="s">
        <v>279</v>
      </c>
      <c r="B18" s="23"/>
      <c r="C18" s="23"/>
      <c r="D18" s="23"/>
      <c r="E18" s="23"/>
      <c r="F18" s="23"/>
      <c r="G18" s="23"/>
      <c r="H18" s="24" t="s">
        <v>51</v>
      </c>
      <c r="I18" s="24"/>
      <c r="J18" s="24"/>
      <c r="K18" s="24"/>
      <c r="M18" s="22" t="s">
        <v>61</v>
      </c>
      <c r="N18" s="12">
        <f>vlookup(H18,data_summary_by_question!U2:V7,2, FALSE)</f>
        <v>0</v>
      </c>
      <c r="O18" s="12">
        <f>average(N18:N20)</f>
        <v>0</v>
      </c>
      <c r="P18" s="12">
        <f>H18</f>
        <v>0</v>
      </c>
    </row>
    <row r="19" spans="1:16" ht="48" customHeight="1">
      <c r="A19" s="23" t="s">
        <v>280</v>
      </c>
      <c r="B19" s="23"/>
      <c r="C19" s="23"/>
      <c r="D19" s="23"/>
      <c r="E19" s="23"/>
      <c r="F19" s="23"/>
      <c r="G19" s="23"/>
      <c r="H19" s="24" t="s">
        <v>51</v>
      </c>
      <c r="I19" s="24"/>
      <c r="J19" s="24"/>
      <c r="K19" s="24"/>
      <c r="M19" s="22" t="s">
        <v>61</v>
      </c>
      <c r="N19" s="12">
        <f>vlookup(H19,data_summary_by_question!U2:V7,2, FALSE)</f>
        <v>0</v>
      </c>
      <c r="P19" s="12">
        <f>H19</f>
        <v>0</v>
      </c>
    </row>
    <row r="20" spans="1:16" ht="48" customHeight="1">
      <c r="A20" s="23" t="s">
        <v>281</v>
      </c>
      <c r="B20" s="23"/>
      <c r="C20" s="23"/>
      <c r="D20" s="23"/>
      <c r="E20" s="23"/>
      <c r="F20" s="23"/>
      <c r="G20" s="23"/>
      <c r="H20" s="24" t="s">
        <v>51</v>
      </c>
      <c r="I20" s="24"/>
      <c r="J20" s="24"/>
      <c r="K20" s="24"/>
      <c r="M20" s="22" t="s">
        <v>61</v>
      </c>
      <c r="N20" s="12">
        <f>vlookup(H20,data_summary_by_question!U2:V7,2, FALSE)</f>
        <v>0</v>
      </c>
      <c r="P20" s="12">
        <f>H20</f>
        <v>0</v>
      </c>
    </row>
    <row r="21" spans="1:16" ht="48" customHeight="1">
      <c r="A21" s="25" t="s">
        <v>67</v>
      </c>
      <c r="B21" s="25"/>
      <c r="C21" s="25"/>
      <c r="D21" s="25"/>
      <c r="E21" s="25"/>
      <c r="F21" s="25"/>
      <c r="G21" s="25"/>
      <c r="H21" s="26" t="s">
        <v>51</v>
      </c>
      <c r="I21" s="26"/>
      <c r="J21" s="26"/>
      <c r="K21" s="26"/>
      <c r="M21" s="26" t="s">
        <v>68</v>
      </c>
    </row>
    <row r="23" spans="1:16" ht="48" customHeight="1">
      <c r="A23" s="21" t="s">
        <v>282</v>
      </c>
      <c r="B23" s="21"/>
      <c r="C23" s="21"/>
      <c r="D23" s="21"/>
      <c r="E23" s="21"/>
      <c r="F23" s="21"/>
      <c r="G23" s="21"/>
      <c r="H23" s="20" t="s">
        <v>58</v>
      </c>
      <c r="I23" s="20"/>
      <c r="J23" s="20"/>
      <c r="K23" s="20"/>
      <c r="M23" s="22" t="s">
        <v>59</v>
      </c>
    </row>
    <row r="24" spans="1:16" ht="48" customHeight="1">
      <c r="A24" s="23" t="s">
        <v>283</v>
      </c>
      <c r="B24" s="23"/>
      <c r="C24" s="23"/>
      <c r="D24" s="23"/>
      <c r="E24" s="23"/>
      <c r="F24" s="23"/>
      <c r="G24" s="23"/>
      <c r="H24" s="24" t="s">
        <v>51</v>
      </c>
      <c r="I24" s="24"/>
      <c r="J24" s="24"/>
      <c r="K24" s="24"/>
      <c r="M24" s="22" t="s">
        <v>61</v>
      </c>
      <c r="N24" s="12">
        <f>vlookup(H24,data_summary_by_question!U2:V7,2, FALSE)</f>
        <v>0</v>
      </c>
      <c r="O24" s="12">
        <f>average(N24:N25)</f>
        <v>0</v>
      </c>
      <c r="P24" s="12">
        <f>H24</f>
        <v>0</v>
      </c>
    </row>
    <row r="25" spans="1:16" ht="48" customHeight="1">
      <c r="A25" s="23" t="s">
        <v>284</v>
      </c>
      <c r="B25" s="23"/>
      <c r="C25" s="23"/>
      <c r="D25" s="23"/>
      <c r="E25" s="23"/>
      <c r="F25" s="23"/>
      <c r="G25" s="23"/>
      <c r="H25" s="24" t="s">
        <v>51</v>
      </c>
      <c r="I25" s="24"/>
      <c r="J25" s="24"/>
      <c r="K25" s="24"/>
      <c r="M25" s="22" t="s">
        <v>61</v>
      </c>
      <c r="N25" s="12">
        <f>vlookup(H25,data_summary_by_question!U2:V7,2, FALSE)</f>
        <v>0</v>
      </c>
      <c r="P25" s="12">
        <f>H25</f>
        <v>0</v>
      </c>
    </row>
    <row r="26" spans="1:16" ht="48" customHeight="1">
      <c r="A26" s="25" t="s">
        <v>67</v>
      </c>
      <c r="B26" s="25"/>
      <c r="C26" s="25"/>
      <c r="D26" s="25"/>
      <c r="E26" s="25"/>
      <c r="F26" s="25"/>
      <c r="G26" s="25"/>
      <c r="H26" s="26" t="s">
        <v>51</v>
      </c>
      <c r="I26" s="26"/>
      <c r="J26" s="26"/>
      <c r="K26" s="26"/>
      <c r="M26" s="26" t="s">
        <v>68</v>
      </c>
    </row>
    <row r="28" spans="1:16" ht="48" customHeight="1">
      <c r="A28" s="21" t="s">
        <v>285</v>
      </c>
      <c r="B28" s="21"/>
      <c r="C28" s="21"/>
      <c r="D28" s="21"/>
      <c r="E28" s="21"/>
      <c r="F28" s="21"/>
      <c r="G28" s="21"/>
      <c r="H28" s="20" t="s">
        <v>58</v>
      </c>
      <c r="I28" s="20"/>
      <c r="J28" s="20"/>
      <c r="K28" s="20"/>
      <c r="M28" s="22" t="s">
        <v>59</v>
      </c>
    </row>
    <row r="29" spans="1:16" ht="48" customHeight="1">
      <c r="A29" s="23" t="s">
        <v>286</v>
      </c>
      <c r="B29" s="23"/>
      <c r="C29" s="23"/>
      <c r="D29" s="23"/>
      <c r="E29" s="23"/>
      <c r="F29" s="23"/>
      <c r="G29" s="23"/>
      <c r="H29" s="24" t="s">
        <v>51</v>
      </c>
      <c r="I29" s="24"/>
      <c r="J29" s="24"/>
      <c r="K29" s="24"/>
      <c r="M29" s="22" t="s">
        <v>61</v>
      </c>
      <c r="N29" s="12">
        <f>vlookup(H29,data_summary_by_question!U2:V7,2, FALSE)</f>
        <v>0</v>
      </c>
      <c r="O29" s="12">
        <f>average(N29:N29)</f>
        <v>0</v>
      </c>
      <c r="P29" s="12">
        <f>H29</f>
        <v>0</v>
      </c>
    </row>
    <row r="30" spans="1:16" ht="48" customHeight="1">
      <c r="A30" s="25" t="s">
        <v>67</v>
      </c>
      <c r="B30" s="25"/>
      <c r="C30" s="25"/>
      <c r="D30" s="25"/>
      <c r="E30" s="25"/>
      <c r="F30" s="25"/>
      <c r="G30" s="25"/>
      <c r="H30" s="26" t="s">
        <v>51</v>
      </c>
      <c r="I30" s="26"/>
      <c r="J30" s="26"/>
      <c r="K30" s="26"/>
      <c r="M30" s="26" t="s">
        <v>68</v>
      </c>
    </row>
    <row r="32" spans="1:16" ht="48" customHeight="1">
      <c r="A32" s="21" t="s">
        <v>287</v>
      </c>
      <c r="B32" s="21"/>
      <c r="C32" s="21"/>
      <c r="D32" s="21"/>
      <c r="E32" s="21"/>
      <c r="F32" s="21"/>
      <c r="G32" s="21"/>
      <c r="H32" s="20" t="s">
        <v>58</v>
      </c>
      <c r="I32" s="20"/>
      <c r="J32" s="20"/>
      <c r="K32" s="20"/>
      <c r="M32" s="22" t="s">
        <v>59</v>
      </c>
    </row>
    <row r="33" spans="1:16" ht="48" customHeight="1">
      <c r="A33" s="23" t="s">
        <v>136</v>
      </c>
      <c r="B33" s="23"/>
      <c r="C33" s="23"/>
      <c r="D33" s="23"/>
      <c r="E33" s="23"/>
      <c r="F33" s="23"/>
      <c r="G33" s="23"/>
      <c r="H33" s="24" t="s">
        <v>51</v>
      </c>
      <c r="I33" s="24"/>
      <c r="J33" s="24"/>
      <c r="K33" s="24"/>
      <c r="M33" s="22" t="s">
        <v>61</v>
      </c>
      <c r="N33" s="12">
        <f>vlookup(H33,data_summary_by_question!U2:V7,2, FALSE)</f>
        <v>0</v>
      </c>
      <c r="O33" s="12">
        <f>average(N33:N36)</f>
        <v>0</v>
      </c>
      <c r="P33" s="12">
        <f>H33</f>
        <v>0</v>
      </c>
    </row>
    <row r="34" spans="1:16" ht="48" customHeight="1">
      <c r="A34" s="23" t="s">
        <v>288</v>
      </c>
      <c r="B34" s="23"/>
      <c r="C34" s="23"/>
      <c r="D34" s="23"/>
      <c r="E34" s="23"/>
      <c r="F34" s="23"/>
      <c r="G34" s="23"/>
      <c r="H34" s="24" t="s">
        <v>51</v>
      </c>
      <c r="I34" s="24"/>
      <c r="J34" s="24"/>
      <c r="K34" s="24"/>
      <c r="M34" s="22" t="s">
        <v>61</v>
      </c>
      <c r="N34" s="12">
        <f>vlookup(H34,data_summary_by_question!U2:V7,2, FALSE)</f>
        <v>0</v>
      </c>
      <c r="P34" s="12">
        <f>H34</f>
        <v>0</v>
      </c>
    </row>
    <row r="35" spans="1:16" ht="48" customHeight="1">
      <c r="A35" s="23" t="s">
        <v>289</v>
      </c>
      <c r="B35" s="23"/>
      <c r="C35" s="23"/>
      <c r="D35" s="23"/>
      <c r="E35" s="23"/>
      <c r="F35" s="23"/>
      <c r="G35" s="23"/>
      <c r="H35" s="24" t="s">
        <v>51</v>
      </c>
      <c r="I35" s="24"/>
      <c r="J35" s="24"/>
      <c r="K35" s="24"/>
      <c r="M35" s="22" t="s">
        <v>61</v>
      </c>
      <c r="N35" s="12">
        <f>vlookup(H35,data_summary_by_question!U2:V7,2, FALSE)</f>
        <v>0</v>
      </c>
      <c r="P35" s="12">
        <f>H35</f>
        <v>0</v>
      </c>
    </row>
    <row r="36" spans="1:16" ht="48" customHeight="1">
      <c r="A36" s="23" t="s">
        <v>290</v>
      </c>
      <c r="B36" s="23"/>
      <c r="C36" s="23"/>
      <c r="D36" s="23"/>
      <c r="E36" s="23"/>
      <c r="F36" s="23"/>
      <c r="G36" s="23"/>
      <c r="H36" s="24" t="s">
        <v>51</v>
      </c>
      <c r="I36" s="24"/>
      <c r="J36" s="24"/>
      <c r="K36" s="24"/>
      <c r="M36" s="22" t="s">
        <v>61</v>
      </c>
      <c r="N36" s="12">
        <f>vlookup(H36,data_summary_by_question!U2:V7,2, FALSE)</f>
        <v>0</v>
      </c>
      <c r="P36" s="12">
        <f>H36</f>
        <v>0</v>
      </c>
    </row>
    <row r="37" spans="1:16" ht="48" customHeight="1">
      <c r="A37" s="25" t="s">
        <v>67</v>
      </c>
      <c r="B37" s="25"/>
      <c r="C37" s="25"/>
      <c r="D37" s="25"/>
      <c r="E37" s="25"/>
      <c r="F37" s="25"/>
      <c r="G37" s="25"/>
      <c r="H37" s="26" t="s">
        <v>51</v>
      </c>
      <c r="I37" s="26"/>
      <c r="J37" s="26"/>
      <c r="K37" s="26"/>
      <c r="M37" s="26" t="s">
        <v>68</v>
      </c>
    </row>
    <row r="39" spans="1:16" ht="48" customHeight="1">
      <c r="A39" s="21" t="s">
        <v>291</v>
      </c>
      <c r="B39" s="21"/>
      <c r="C39" s="21"/>
      <c r="D39" s="21"/>
      <c r="E39" s="21"/>
      <c r="F39" s="21"/>
      <c r="G39" s="21"/>
      <c r="H39" s="20" t="s">
        <v>58</v>
      </c>
      <c r="I39" s="20"/>
      <c r="J39" s="20"/>
      <c r="K39" s="20"/>
      <c r="M39" s="22" t="s">
        <v>59</v>
      </c>
    </row>
    <row r="40" spans="1:16" ht="48" customHeight="1">
      <c r="A40" s="23" t="s">
        <v>292</v>
      </c>
      <c r="B40" s="23"/>
      <c r="C40" s="23"/>
      <c r="D40" s="23"/>
      <c r="E40" s="23"/>
      <c r="F40" s="23"/>
      <c r="G40" s="23"/>
      <c r="H40" s="24" t="s">
        <v>51</v>
      </c>
      <c r="I40" s="24"/>
      <c r="J40" s="24"/>
      <c r="K40" s="24"/>
      <c r="M40" s="22" t="s">
        <v>61</v>
      </c>
      <c r="N40" s="12">
        <f>vlookup(H40,data_summary_by_question!U2:V7,2, FALSE)</f>
        <v>0</v>
      </c>
      <c r="O40" s="12">
        <f>average(N40:N40)</f>
        <v>0</v>
      </c>
      <c r="P40" s="12">
        <f>H40</f>
        <v>0</v>
      </c>
    </row>
    <row r="41" spans="1:16" ht="48" customHeight="1">
      <c r="A41" s="25" t="s">
        <v>67</v>
      </c>
      <c r="B41" s="25"/>
      <c r="C41" s="25"/>
      <c r="D41" s="25"/>
      <c r="E41" s="25"/>
      <c r="F41" s="25"/>
      <c r="G41" s="25"/>
      <c r="H41" s="26" t="s">
        <v>51</v>
      </c>
      <c r="I41" s="26"/>
      <c r="J41" s="26"/>
      <c r="K41" s="26"/>
      <c r="M41" s="26" t="s">
        <v>68</v>
      </c>
    </row>
    <row r="43" spans="1:16" ht="48" customHeight="1">
      <c r="A43" s="21" t="s">
        <v>293</v>
      </c>
      <c r="B43" s="21"/>
      <c r="C43" s="21"/>
      <c r="D43" s="21"/>
      <c r="E43" s="21"/>
      <c r="F43" s="21"/>
      <c r="G43" s="21"/>
      <c r="H43" s="20" t="s">
        <v>58</v>
      </c>
      <c r="I43" s="20"/>
      <c r="J43" s="20"/>
      <c r="K43" s="20"/>
      <c r="M43" s="22" t="s">
        <v>59</v>
      </c>
    </row>
    <row r="44" spans="1:16" ht="48" customHeight="1">
      <c r="A44" s="23" t="s">
        <v>294</v>
      </c>
      <c r="B44" s="23"/>
      <c r="C44" s="23"/>
      <c r="D44" s="23"/>
      <c r="E44" s="23"/>
      <c r="F44" s="23"/>
      <c r="G44" s="23"/>
      <c r="H44" s="24" t="s">
        <v>51</v>
      </c>
      <c r="I44" s="24"/>
      <c r="J44" s="24"/>
      <c r="K44" s="24"/>
      <c r="M44" s="22" t="s">
        <v>61</v>
      </c>
      <c r="N44" s="12">
        <f>vlookup(H44,data_summary_by_question!U2:V7,2, FALSE)</f>
        <v>0</v>
      </c>
      <c r="O44" s="12">
        <f>average(N44:N45)</f>
        <v>0</v>
      </c>
      <c r="P44" s="12">
        <f>H44</f>
        <v>0</v>
      </c>
    </row>
    <row r="45" spans="1:16" ht="48" customHeight="1">
      <c r="A45" s="23" t="s">
        <v>295</v>
      </c>
      <c r="B45" s="23"/>
      <c r="C45" s="23"/>
      <c r="D45" s="23"/>
      <c r="E45" s="23"/>
      <c r="F45" s="23"/>
      <c r="G45" s="23"/>
      <c r="H45" s="24" t="s">
        <v>51</v>
      </c>
      <c r="I45" s="24"/>
      <c r="J45" s="24"/>
      <c r="K45" s="24"/>
      <c r="M45" s="22" t="s">
        <v>61</v>
      </c>
      <c r="N45" s="12">
        <f>vlookup(H45,data_summary_by_question!U2:V7,2, FALSE)</f>
        <v>0</v>
      </c>
      <c r="P45" s="12">
        <f>H45</f>
        <v>0</v>
      </c>
    </row>
    <row r="46" spans="1:16" ht="48" customHeight="1">
      <c r="A46" s="25" t="s">
        <v>67</v>
      </c>
      <c r="B46" s="25"/>
      <c r="C46" s="25"/>
      <c r="D46" s="25"/>
      <c r="E46" s="25"/>
      <c r="F46" s="25"/>
      <c r="G46" s="25"/>
      <c r="H46" s="26" t="s">
        <v>51</v>
      </c>
      <c r="I46" s="26"/>
      <c r="J46" s="26"/>
      <c r="K46" s="26"/>
      <c r="M46" s="26" t="s">
        <v>68</v>
      </c>
    </row>
    <row r="48" spans="1:16" ht="48" customHeight="1">
      <c r="A48" s="21" t="s">
        <v>296</v>
      </c>
      <c r="B48" s="21"/>
      <c r="C48" s="21"/>
      <c r="D48" s="21"/>
      <c r="E48" s="21"/>
      <c r="F48" s="21"/>
      <c r="G48" s="21"/>
      <c r="H48" s="20" t="s">
        <v>58</v>
      </c>
      <c r="I48" s="20"/>
      <c r="J48" s="20"/>
      <c r="K48" s="20"/>
      <c r="M48" s="22" t="s">
        <v>59</v>
      </c>
    </row>
    <row r="49" spans="1:16" ht="48" customHeight="1">
      <c r="A49" s="23" t="s">
        <v>297</v>
      </c>
      <c r="B49" s="23"/>
      <c r="C49" s="23"/>
      <c r="D49" s="23"/>
      <c r="E49" s="23"/>
      <c r="F49" s="23"/>
      <c r="G49" s="23"/>
      <c r="H49" s="24" t="s">
        <v>51</v>
      </c>
      <c r="I49" s="24"/>
      <c r="J49" s="24"/>
      <c r="K49" s="24"/>
      <c r="M49" s="22" t="s">
        <v>61</v>
      </c>
      <c r="N49" s="12">
        <f>vlookup(H49,data_summary_by_question!U2:V7,2, FALSE)</f>
        <v>0</v>
      </c>
      <c r="O49" s="12">
        <f>average(N49:N50)</f>
        <v>0</v>
      </c>
      <c r="P49" s="12">
        <f>H49</f>
        <v>0</v>
      </c>
    </row>
    <row r="50" spans="1:16" ht="48" customHeight="1">
      <c r="A50" s="23" t="s">
        <v>298</v>
      </c>
      <c r="B50" s="23"/>
      <c r="C50" s="23"/>
      <c r="D50" s="23"/>
      <c r="E50" s="23"/>
      <c r="F50" s="23"/>
      <c r="G50" s="23"/>
      <c r="H50" s="24" t="s">
        <v>51</v>
      </c>
      <c r="I50" s="24"/>
      <c r="J50" s="24"/>
      <c r="K50" s="24"/>
      <c r="M50" s="22" t="s">
        <v>61</v>
      </c>
      <c r="N50" s="12">
        <f>vlookup(H50,data_summary_by_question!U2:V7,2, FALSE)</f>
        <v>0</v>
      </c>
      <c r="P50" s="12">
        <f>H50</f>
        <v>0</v>
      </c>
    </row>
    <row r="51" spans="1:16" ht="48" customHeight="1">
      <c r="A51" s="25" t="s">
        <v>67</v>
      </c>
      <c r="B51" s="25"/>
      <c r="C51" s="25"/>
      <c r="D51" s="25"/>
      <c r="E51" s="25"/>
      <c r="F51" s="25"/>
      <c r="G51" s="25"/>
      <c r="H51" s="26" t="s">
        <v>51</v>
      </c>
      <c r="I51" s="26"/>
      <c r="J51" s="26"/>
      <c r="K51" s="26"/>
      <c r="M51" s="26" t="s">
        <v>68</v>
      </c>
    </row>
    <row r="53" spans="1:16" ht="48" customHeight="1">
      <c r="A53" s="21" t="s">
        <v>299</v>
      </c>
      <c r="B53" s="21"/>
      <c r="C53" s="21"/>
      <c r="D53" s="21"/>
      <c r="E53" s="21"/>
      <c r="F53" s="21"/>
      <c r="G53" s="21"/>
      <c r="H53" s="20" t="s">
        <v>58</v>
      </c>
      <c r="I53" s="20"/>
      <c r="J53" s="20"/>
      <c r="K53" s="20"/>
      <c r="M53" s="22" t="s">
        <v>59</v>
      </c>
    </row>
    <row r="54" spans="1:16" ht="48" customHeight="1">
      <c r="A54" s="23" t="s">
        <v>300</v>
      </c>
      <c r="B54" s="23"/>
      <c r="C54" s="23"/>
      <c r="D54" s="23"/>
      <c r="E54" s="23"/>
      <c r="F54" s="23"/>
      <c r="G54" s="23"/>
      <c r="H54" s="24" t="s">
        <v>51</v>
      </c>
      <c r="I54" s="24"/>
      <c r="J54" s="24"/>
      <c r="K54" s="24"/>
      <c r="M54" s="22" t="s">
        <v>61</v>
      </c>
      <c r="N54" s="12">
        <f>vlookup(H54,data_summary_by_question!U2:V7,2, FALSE)</f>
        <v>0</v>
      </c>
      <c r="O54" s="12">
        <f>average(N54:N57)</f>
        <v>0</v>
      </c>
      <c r="P54" s="12">
        <f>H54</f>
        <v>0</v>
      </c>
    </row>
    <row r="55" spans="1:16" ht="48" customHeight="1">
      <c r="A55" s="23" t="s">
        <v>301</v>
      </c>
      <c r="B55" s="23"/>
      <c r="C55" s="23"/>
      <c r="D55" s="23"/>
      <c r="E55" s="23"/>
      <c r="F55" s="23"/>
      <c r="G55" s="23"/>
      <c r="H55" s="24" t="s">
        <v>51</v>
      </c>
      <c r="I55" s="24"/>
      <c r="J55" s="24"/>
      <c r="K55" s="24"/>
      <c r="M55" s="22" t="s">
        <v>61</v>
      </c>
      <c r="N55" s="12">
        <f>vlookup(H55,data_summary_by_question!U2:V7,2, FALSE)</f>
        <v>0</v>
      </c>
      <c r="P55" s="12">
        <f>H55</f>
        <v>0</v>
      </c>
    </row>
    <row r="56" spans="1:16" ht="48" customHeight="1">
      <c r="A56" s="23" t="s">
        <v>302</v>
      </c>
      <c r="B56" s="23"/>
      <c r="C56" s="23"/>
      <c r="D56" s="23"/>
      <c r="E56" s="23"/>
      <c r="F56" s="23"/>
      <c r="G56" s="23"/>
      <c r="H56" s="24" t="s">
        <v>51</v>
      </c>
      <c r="I56" s="24"/>
      <c r="J56" s="24"/>
      <c r="K56" s="24"/>
      <c r="M56" s="22" t="s">
        <v>61</v>
      </c>
      <c r="N56" s="12">
        <f>vlookup(H56,data_summary_by_question!U2:V7,2, FALSE)</f>
        <v>0</v>
      </c>
      <c r="P56" s="12">
        <f>H56</f>
        <v>0</v>
      </c>
    </row>
    <row r="57" spans="1:16" ht="48" customHeight="1">
      <c r="A57" s="23" t="s">
        <v>303</v>
      </c>
      <c r="B57" s="23"/>
      <c r="C57" s="23"/>
      <c r="D57" s="23"/>
      <c r="E57" s="23"/>
      <c r="F57" s="23"/>
      <c r="G57" s="23"/>
      <c r="H57" s="24" t="s">
        <v>51</v>
      </c>
      <c r="I57" s="24"/>
      <c r="J57" s="24"/>
      <c r="K57" s="24"/>
      <c r="M57" s="22" t="s">
        <v>61</v>
      </c>
      <c r="N57" s="12">
        <f>vlookup(H57,data_summary_by_question!U2:V7,2, FALSE)</f>
        <v>0</v>
      </c>
      <c r="P57" s="12">
        <f>H57</f>
        <v>0</v>
      </c>
    </row>
    <row r="58" spans="1:16" ht="48" customHeight="1">
      <c r="A58" s="25" t="s">
        <v>67</v>
      </c>
      <c r="B58" s="25"/>
      <c r="C58" s="25"/>
      <c r="D58" s="25"/>
      <c r="E58" s="25"/>
      <c r="F58" s="25"/>
      <c r="G58" s="25"/>
      <c r="H58" s="26" t="s">
        <v>51</v>
      </c>
      <c r="I58" s="26"/>
      <c r="J58" s="26"/>
      <c r="K58" s="26"/>
      <c r="M58" s="26" t="s">
        <v>68</v>
      </c>
    </row>
    <row r="60" spans="1:16" ht="48" customHeight="1">
      <c r="A60" s="21" t="s">
        <v>304</v>
      </c>
      <c r="B60" s="21"/>
      <c r="C60" s="21"/>
      <c r="D60" s="21"/>
      <c r="E60" s="21"/>
      <c r="F60" s="21"/>
      <c r="G60" s="21"/>
      <c r="H60" s="20" t="s">
        <v>58</v>
      </c>
      <c r="I60" s="20"/>
      <c r="J60" s="20"/>
      <c r="K60" s="20"/>
      <c r="M60" s="22" t="s">
        <v>59</v>
      </c>
    </row>
    <row r="61" spans="1:16" ht="48" customHeight="1">
      <c r="A61" s="23" t="s">
        <v>305</v>
      </c>
      <c r="B61" s="23"/>
      <c r="C61" s="23"/>
      <c r="D61" s="23"/>
      <c r="E61" s="23"/>
      <c r="F61" s="23"/>
      <c r="G61" s="23"/>
      <c r="H61" s="24" t="s">
        <v>51</v>
      </c>
      <c r="I61" s="24"/>
      <c r="J61" s="24"/>
      <c r="K61" s="24"/>
      <c r="M61" s="22" t="s">
        <v>61</v>
      </c>
      <c r="N61" s="12">
        <f>vlookup(H61,data_summary_by_question!U2:V7,2, FALSE)</f>
        <v>0</v>
      </c>
      <c r="O61" s="12">
        <f>average(N61:N62)</f>
        <v>0</v>
      </c>
      <c r="P61" s="12">
        <f>H61</f>
        <v>0</v>
      </c>
    </row>
    <row r="62" spans="1:16" ht="48" customHeight="1">
      <c r="A62" s="23" t="s">
        <v>306</v>
      </c>
      <c r="B62" s="23"/>
      <c r="C62" s="23"/>
      <c r="D62" s="23"/>
      <c r="E62" s="23"/>
      <c r="F62" s="23"/>
      <c r="G62" s="23"/>
      <c r="H62" s="24" t="s">
        <v>51</v>
      </c>
      <c r="I62" s="24"/>
      <c r="J62" s="24"/>
      <c r="K62" s="24"/>
      <c r="M62" s="22" t="s">
        <v>61</v>
      </c>
      <c r="N62" s="12">
        <f>vlookup(H62,data_summary_by_question!U2:V7,2, FALSE)</f>
        <v>0</v>
      </c>
      <c r="P62" s="12">
        <f>H62</f>
        <v>0</v>
      </c>
    </row>
    <row r="63" spans="1:16" ht="48" customHeight="1">
      <c r="A63" s="25" t="s">
        <v>67</v>
      </c>
      <c r="B63" s="25"/>
      <c r="C63" s="25"/>
      <c r="D63" s="25"/>
      <c r="E63" s="25"/>
      <c r="F63" s="25"/>
      <c r="G63" s="25"/>
      <c r="H63" s="26" t="s">
        <v>51</v>
      </c>
      <c r="I63" s="26"/>
      <c r="J63" s="26"/>
      <c r="K63" s="26"/>
      <c r="M63" s="26" t="s">
        <v>68</v>
      </c>
    </row>
    <row r="65" spans="1:16" ht="48" customHeight="1">
      <c r="A65" s="21" t="s">
        <v>307</v>
      </c>
      <c r="B65" s="21"/>
      <c r="C65" s="21"/>
      <c r="D65" s="21"/>
      <c r="E65" s="21"/>
      <c r="F65" s="21"/>
      <c r="G65" s="21"/>
      <c r="H65" s="20" t="s">
        <v>58</v>
      </c>
      <c r="I65" s="20"/>
      <c r="J65" s="20"/>
      <c r="K65" s="20"/>
      <c r="M65" s="22" t="s">
        <v>59</v>
      </c>
    </row>
    <row r="66" spans="1:16" ht="48" customHeight="1">
      <c r="A66" s="23" t="s">
        <v>308</v>
      </c>
      <c r="B66" s="23"/>
      <c r="C66" s="23"/>
      <c r="D66" s="23"/>
      <c r="E66" s="23"/>
      <c r="F66" s="23"/>
      <c r="G66" s="23"/>
      <c r="H66" s="24" t="s">
        <v>51</v>
      </c>
      <c r="I66" s="24"/>
      <c r="J66" s="24"/>
      <c r="K66" s="24"/>
      <c r="M66" s="22" t="s">
        <v>61</v>
      </c>
      <c r="N66" s="12">
        <f>vlookup(H66,data_summary_by_question!U2:V7,2, FALSE)</f>
        <v>0</v>
      </c>
      <c r="O66" s="12">
        <f>average(N66:N66)</f>
        <v>0</v>
      </c>
      <c r="P66" s="12">
        <f>H66</f>
        <v>0</v>
      </c>
    </row>
    <row r="67" spans="1:16" ht="48" customHeight="1">
      <c r="A67" s="25" t="s">
        <v>67</v>
      </c>
      <c r="B67" s="25"/>
      <c r="C67" s="25"/>
      <c r="D67" s="25"/>
      <c r="E67" s="25"/>
      <c r="F67" s="25"/>
      <c r="G67" s="25"/>
      <c r="H67" s="26" t="s">
        <v>51</v>
      </c>
      <c r="I67" s="26"/>
      <c r="J67" s="26"/>
      <c r="K67" s="26"/>
      <c r="M67" s="26" t="s">
        <v>68</v>
      </c>
    </row>
    <row r="70" spans="1:16" ht="48" customHeight="1">
      <c r="A70" s="25" t="s">
        <v>154</v>
      </c>
      <c r="B70" s="25"/>
      <c r="C70" s="25"/>
      <c r="D70" s="25"/>
      <c r="E70" s="25"/>
      <c r="F70" s="25"/>
      <c r="G70" s="25"/>
      <c r="H70" s="26" t="s">
        <v>51</v>
      </c>
      <c r="I70" s="26"/>
      <c r="J70" s="26"/>
      <c r="K70" s="26"/>
      <c r="M70" s="26" t="s">
        <v>61</v>
      </c>
    </row>
    <row r="72" spans="1:16" ht="48" customHeight="1">
      <c r="A72" s="25" t="s">
        <v>155</v>
      </c>
      <c r="B72" s="25"/>
      <c r="C72" s="25"/>
      <c r="D72" s="25"/>
      <c r="E72" s="25"/>
      <c r="F72" s="25"/>
      <c r="G72" s="25"/>
      <c r="H72" s="26" t="s">
        <v>51</v>
      </c>
      <c r="I72" s="26"/>
      <c r="J72" s="26"/>
      <c r="K72" s="26"/>
      <c r="M72" s="26" t="s">
        <v>61</v>
      </c>
    </row>
    <row r="74" spans="1:16" ht="48" customHeight="1">
      <c r="A74" s="25" t="s">
        <v>156</v>
      </c>
      <c r="B74" s="25"/>
      <c r="C74" s="25"/>
      <c r="D74" s="25"/>
      <c r="E74" s="25"/>
      <c r="F74" s="25"/>
      <c r="G74" s="25"/>
      <c r="H74" s="26" t="s">
        <v>51</v>
      </c>
      <c r="I74" s="26"/>
      <c r="J74" s="26"/>
      <c r="K74" s="26"/>
      <c r="M74" s="26" t="s">
        <v>61</v>
      </c>
    </row>
    <row r="78" spans="1:16" s="12" customFormat="1">
      <c r="A78" s="12" t="s">
        <v>157</v>
      </c>
      <c r="B78" s="12" t="s">
        <v>158</v>
      </c>
      <c r="C78" s="12" t="s">
        <v>159</v>
      </c>
    </row>
    <row r="79" spans="1:16" s="12" customFormat="1">
      <c r="A79" s="12" t="s">
        <v>46</v>
      </c>
      <c r="B79" s="12">
        <f>COUNTIF(P12:P67,A79)</f>
        <v>0</v>
      </c>
      <c r="C79" s="12">
        <f>B79/ B86</f>
        <v>0</v>
      </c>
    </row>
    <row r="80" spans="1:16" s="12" customFormat="1">
      <c r="A80" s="12" t="s">
        <v>47</v>
      </c>
      <c r="B80" s="12">
        <f>COUNTIF(P12:P67,A80)</f>
        <v>0</v>
      </c>
      <c r="C80" s="12">
        <f>B80/ B86</f>
        <v>0</v>
      </c>
    </row>
    <row r="81" spans="1:3" s="12" customFormat="1">
      <c r="A81" s="12" t="s">
        <v>48</v>
      </c>
      <c r="B81" s="12">
        <f>COUNTIF(P12:P67,A81)</f>
        <v>0</v>
      </c>
      <c r="C81" s="12">
        <f>B81/ B86</f>
        <v>0</v>
      </c>
    </row>
    <row r="82" spans="1:3" s="12" customFormat="1">
      <c r="A82" s="12" t="s">
        <v>49</v>
      </c>
      <c r="B82" s="12">
        <f>COUNTIF(P12:P67,A82)</f>
        <v>0</v>
      </c>
      <c r="C82" s="12">
        <f>B82/ B86</f>
        <v>0</v>
      </c>
    </row>
    <row r="83" spans="1:3" s="12" customFormat="1">
      <c r="A83" s="12" t="s">
        <v>50</v>
      </c>
      <c r="B83" s="12">
        <f>COUNTIF(P12:P67,A83)</f>
        <v>0</v>
      </c>
      <c r="C83" s="12">
        <f>B83/ B86</f>
        <v>0</v>
      </c>
    </row>
    <row r="84" spans="1:3" s="12" customFormat="1">
      <c r="A84" s="12" t="s">
        <v>51</v>
      </c>
      <c r="B84" s="12">
        <f>COUNTIF(P12:P67,A84)</f>
        <v>0</v>
      </c>
      <c r="C84" s="12">
        <f>B84/ B86</f>
        <v>0</v>
      </c>
    </row>
    <row r="85" spans="1:3" s="12" customFormat="1"/>
    <row r="86" spans="1:3" s="12" customFormat="1">
      <c r="A86" s="12" t="s">
        <v>160</v>
      </c>
      <c r="B86" s="12">
        <f>SUM(B79:B84)</f>
        <v>0</v>
      </c>
    </row>
    <row r="87" spans="1:3" s="12" customFormat="1"/>
    <row r="88" spans="1:3" s="12" customFormat="1">
      <c r="A88" s="12" t="s">
        <v>161</v>
      </c>
    </row>
    <row r="89" spans="1:3" s="12" customFormat="1">
      <c r="A89" s="12" t="s">
        <v>162</v>
      </c>
      <c r="B89" s="12">
        <f>countifs(O12:O67,"&gt;=1.0", O12:O67,"&lt;=1.0")</f>
        <v>0</v>
      </c>
    </row>
    <row r="90" spans="1:3" s="12" customFormat="1">
      <c r="A90" s="12" t="s">
        <v>163</v>
      </c>
      <c r="B90" s="12">
        <f>countifs(O12:O67,"&gt;=0.75", O12:O67,"&lt;=0.99")</f>
        <v>0</v>
      </c>
    </row>
    <row r="91" spans="1:3" s="12" customFormat="1">
      <c r="A91" s="12" t="s">
        <v>164</v>
      </c>
      <c r="B91" s="12">
        <f>countifs(O12:O67,"&gt;=0.5", O12:O67,"&lt;=0.74")</f>
        <v>0</v>
      </c>
    </row>
    <row r="92" spans="1:3" s="12" customFormat="1">
      <c r="A92" s="12" t="s">
        <v>165</v>
      </c>
      <c r="B92" s="12">
        <f>countifs(O12:O67,"&gt;=0.25", O12:O67,"&lt;=0.49")</f>
        <v>0</v>
      </c>
    </row>
    <row r="93" spans="1:3" s="12" customFormat="1">
      <c r="A93" s="12" t="s">
        <v>166</v>
      </c>
      <c r="B93" s="12">
        <f>countifs(O12:O67,"&gt;=0.0", O12:O67,"&lt;=0.24")</f>
        <v>0</v>
      </c>
    </row>
    <row r="94" spans="1:3" s="12" customFormat="1"/>
    <row r="95" spans="1:3" s="12" customFormat="1">
      <c r="A95" s="12" t="s">
        <v>160</v>
      </c>
      <c r="B95" s="12">
        <f>SUM(B89:B93)</f>
        <v>0</v>
      </c>
    </row>
  </sheetData>
  <sheetProtection password="E4E4" sheet="1" objects="1" scenarios="1"/>
  <mergeCells count="123">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5:G15"/>
    <mergeCell ref="H15:K15"/>
    <mergeCell ref="A17:G17"/>
    <mergeCell ref="H17:K17"/>
    <mergeCell ref="A18:G18"/>
    <mergeCell ref="H18:K18"/>
    <mergeCell ref="A19:G19"/>
    <mergeCell ref="H19:K19"/>
    <mergeCell ref="A20:G20"/>
    <mergeCell ref="H20:K20"/>
    <mergeCell ref="A21:G21"/>
    <mergeCell ref="H21:K21"/>
    <mergeCell ref="A23:G23"/>
    <mergeCell ref="H23:K23"/>
    <mergeCell ref="A24:G24"/>
    <mergeCell ref="H24:K24"/>
    <mergeCell ref="A25:G25"/>
    <mergeCell ref="H25:K25"/>
    <mergeCell ref="A26:G26"/>
    <mergeCell ref="H26:K26"/>
    <mergeCell ref="A28:G28"/>
    <mergeCell ref="H28:K28"/>
    <mergeCell ref="A29:G29"/>
    <mergeCell ref="H29:K29"/>
    <mergeCell ref="A30:G30"/>
    <mergeCell ref="H30:K30"/>
    <mergeCell ref="A32:G32"/>
    <mergeCell ref="H32:K32"/>
    <mergeCell ref="A33:G33"/>
    <mergeCell ref="H33:K33"/>
    <mergeCell ref="A34:G34"/>
    <mergeCell ref="H34:K34"/>
    <mergeCell ref="A35:G35"/>
    <mergeCell ref="H35:K35"/>
    <mergeCell ref="A36:G36"/>
    <mergeCell ref="H36:K36"/>
    <mergeCell ref="A37:G37"/>
    <mergeCell ref="H37:K37"/>
    <mergeCell ref="A39:G39"/>
    <mergeCell ref="H39:K39"/>
    <mergeCell ref="A40:G40"/>
    <mergeCell ref="H40:K40"/>
    <mergeCell ref="A41:G41"/>
    <mergeCell ref="H41:K41"/>
    <mergeCell ref="A43:G43"/>
    <mergeCell ref="H43:K43"/>
    <mergeCell ref="A44:G44"/>
    <mergeCell ref="H44:K44"/>
    <mergeCell ref="A45:G45"/>
    <mergeCell ref="H45:K45"/>
    <mergeCell ref="A46:G46"/>
    <mergeCell ref="H46:K46"/>
    <mergeCell ref="A48:G48"/>
    <mergeCell ref="H48:K48"/>
    <mergeCell ref="A49:G49"/>
    <mergeCell ref="H49:K49"/>
    <mergeCell ref="A50:G50"/>
    <mergeCell ref="H50:K50"/>
    <mergeCell ref="A51:G51"/>
    <mergeCell ref="H51:K51"/>
    <mergeCell ref="A53:G53"/>
    <mergeCell ref="H53:K53"/>
    <mergeCell ref="A54:G54"/>
    <mergeCell ref="H54:K54"/>
    <mergeCell ref="A55:G55"/>
    <mergeCell ref="H55:K55"/>
    <mergeCell ref="A56:G56"/>
    <mergeCell ref="H56:K56"/>
    <mergeCell ref="A57:G57"/>
    <mergeCell ref="H57:K57"/>
    <mergeCell ref="A58:G58"/>
    <mergeCell ref="H58:K58"/>
    <mergeCell ref="A60:G60"/>
    <mergeCell ref="H60:K60"/>
    <mergeCell ref="A61:G61"/>
    <mergeCell ref="H61:K61"/>
    <mergeCell ref="A62:G62"/>
    <mergeCell ref="H62:K62"/>
    <mergeCell ref="A63:G63"/>
    <mergeCell ref="H63:K63"/>
    <mergeCell ref="A65:G65"/>
    <mergeCell ref="H65:K65"/>
    <mergeCell ref="A66:G66"/>
    <mergeCell ref="H66:K66"/>
    <mergeCell ref="A67:G67"/>
    <mergeCell ref="H67:K67"/>
    <mergeCell ref="A70:G70"/>
    <mergeCell ref="H70:K70"/>
    <mergeCell ref="A72:G72"/>
    <mergeCell ref="H72:K72"/>
    <mergeCell ref="A74:G74"/>
    <mergeCell ref="H74:K74"/>
  </mergeCells>
  <dataValidations count="39">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"Yes,It Does Not Apply,Partially,I Have Done An Alternative Approach,No,No Answer"</formula1>
    </dataValidation>
    <dataValidation type="list" allowBlank="1" showInputMessage="1" showErrorMessage="1" sqref="H15">
      <formula1>"Completed,Partially Completed,Not Yet Started,No Answer"</formula1>
    </dataValidation>
    <dataValidation type="list" allowBlank="1" showInputMessage="1" showErrorMessage="1" sqref="H18">
      <formula1>"Yes,It Does Not Apply,Partially,I Have Done An Alternative Approach,No,No Answer"</formula1>
    </dataValidation>
    <dataValidation type="list" allowBlank="1" showInputMessage="1" showErrorMessage="1" sqref="H19">
      <formula1>"Yes,It Does Not Apply,Partially,I Have Done An Alternative Approach,No,No Answer"</formula1>
    </dataValidation>
    <dataValidation type="list" allowBlank="1" showInputMessage="1" showErrorMessage="1" sqref="H20">
      <formula1>"Yes,It Does Not Apply,Partially,I Have Done An Alternative Approach,No,No Answer"</formula1>
    </dataValidation>
    <dataValidation type="list" allowBlank="1" showInputMessage="1" showErrorMessage="1" sqref="H21">
      <formula1>"Completed,Partially Completed,Not Yet Started,No Answer"</formula1>
    </dataValidation>
    <dataValidation type="list" allowBlank="1" showInputMessage="1" showErrorMessage="1" sqref="H24">
      <formula1>"Yes,It Does Not Apply,Partially,I Have Done An Alternative Approach,No,No Answer"</formula1>
    </dataValidation>
    <dataValidation type="list" allowBlank="1" showInputMessage="1" showErrorMessage="1" sqref="H25">
      <formula1>"Yes,It Does Not Apply,Partially,I Have Done An Alternative Approach,No,No Answer"</formula1>
    </dataValidation>
    <dataValidation type="list" allowBlank="1" showInputMessage="1" showErrorMessage="1" sqref="H26">
      <formula1>"Completed,Partially Completed,Not Yet Started,No Answer"</formula1>
    </dataValidation>
    <dataValidation type="list" allowBlank="1" showInputMessage="1" showErrorMessage="1" sqref="H29">
      <formula1>"Yes,It Does Not Apply,Partially,I Have Done An Alternative Approach,No,No Answer"</formula1>
    </dataValidation>
    <dataValidation type="list" allowBlank="1" showInputMessage="1" showErrorMessage="1" sqref="H30">
      <formula1>"Completed,Partially Completed,Not Yet Started,No Answer"</formula1>
    </dataValidation>
    <dataValidation type="list" allowBlank="1" showInputMessage="1" showErrorMessage="1" sqref="H33">
      <formula1>"Yes,It Does Not Apply,Partially,I Have Done An Alternative Approach,No,No Answer"</formula1>
    </dataValidation>
    <dataValidation type="list" allowBlank="1" showInputMessage="1" showErrorMessage="1" sqref="H34">
      <formula1>"Yes,It Does Not Apply,Partially,I Have Done An Alternative Approach,No,No Answer"</formula1>
    </dataValidation>
    <dataValidation type="list" allowBlank="1" showInputMessage="1" showErrorMessage="1" sqref="H35">
      <formula1>"Yes,It Does Not Apply,Partially,I Have Done An Alternative Approach,No,No Answer"</formula1>
    </dataValidation>
    <dataValidation type="list" allowBlank="1" showInputMessage="1" showErrorMessage="1" sqref="H36">
      <formula1>"Yes,It Does Not Apply,Partially,I Have Done An Alternative Approach,No,No Answer"</formula1>
    </dataValidation>
    <dataValidation type="list" allowBlank="1" showInputMessage="1" showErrorMessage="1" sqref="H37">
      <formula1>"Completed,Partially Completed,Not Yet Started,No Answer"</formula1>
    </dataValidation>
    <dataValidation type="list" allowBlank="1" showInputMessage="1" showErrorMessage="1" sqref="H40">
      <formula1>"Yes,It Does Not Apply,Partially,I Have Done An Alternative Approach,No,No Answer"</formula1>
    </dataValidation>
    <dataValidation type="list" allowBlank="1" showInputMessage="1" showErrorMessage="1" sqref="H41">
      <formula1>"Completed,Partially Completed,Not Yet Started,No Answer"</formula1>
    </dataValidation>
    <dataValidation type="list" allowBlank="1" showInputMessage="1" showErrorMessage="1" sqref="H44">
      <formula1>"Yes,It Does Not Apply,Partially,I Have Done An Alternative Approach,No,No Answer"</formula1>
    </dataValidation>
    <dataValidation type="list" allowBlank="1" showInputMessage="1" showErrorMessage="1" sqref="H45">
      <formula1>"Yes,It Does Not Apply,Partially,I Have Done An Alternative Approach,No,No Answer"</formula1>
    </dataValidation>
    <dataValidation type="list" allowBlank="1" showInputMessage="1" showErrorMessage="1" sqref="H46">
      <formula1>"Completed,Partially Completed,Not Yet Started,No Answer"</formula1>
    </dataValidation>
    <dataValidation type="list" allowBlank="1" showInputMessage="1" showErrorMessage="1" sqref="H49">
      <formula1>"Yes,It Does Not Apply,Partially,I Have Done An Alternative Approach,No,No Answer"</formula1>
    </dataValidation>
    <dataValidation type="list" allowBlank="1" showInputMessage="1" showErrorMessage="1" sqref="H50">
      <formula1>"Yes,It Does Not Apply,Partially,I Have Done An Alternative Approach,No,No Answer"</formula1>
    </dataValidation>
    <dataValidation type="list" allowBlank="1" showInputMessage="1" showErrorMessage="1" sqref="H51">
      <formula1>"Completed,Partially Completed,Not Yet Started,No Answer"</formula1>
    </dataValidation>
    <dataValidation type="list" allowBlank="1" showInputMessage="1" showErrorMessage="1" sqref="H54">
      <formula1>"Yes,It Does Not Apply,Partially,I Have Done An Alternative Approach,No,No Answer"</formula1>
    </dataValidation>
    <dataValidation type="list" allowBlank="1" showInputMessage="1" showErrorMessage="1" sqref="H55">
      <formula1>"Yes,It Does Not Apply,Partially,I Have Done An Alternative Approach,No,No Answer"</formula1>
    </dataValidation>
    <dataValidation type="list" allowBlank="1" showInputMessage="1" showErrorMessage="1" sqref="H56">
      <formula1>"Yes,It Does Not Apply,Partially,I Have Done An Alternative Approach,No,No Answer"</formula1>
    </dataValidation>
    <dataValidation type="list" allowBlank="1" showInputMessage="1" showErrorMessage="1" sqref="H57">
      <formula1>"Yes,It Does Not Apply,Partially,I Have Done An Alternative Approach,No,No Answer"</formula1>
    </dataValidation>
    <dataValidation type="list" allowBlank="1" showInputMessage="1" showErrorMessage="1" sqref="H58">
      <formula1>"Completed,Partially Completed,Not Yet Started,No Answer"</formula1>
    </dataValidation>
    <dataValidation type="list" allowBlank="1" showInputMessage="1" showErrorMessage="1" sqref="H61">
      <formula1>"Yes,It Does Not Apply,Partially,I Have Done An Alternative Approach,No,No Answer"</formula1>
    </dataValidation>
    <dataValidation type="list" allowBlank="1" showInputMessage="1" showErrorMessage="1" sqref="H62">
      <formula1>"Yes,It Does Not Apply,Partially,I Have Done An Alternative Approach,No,No Answer"</formula1>
    </dataValidation>
    <dataValidation type="list" allowBlank="1" showInputMessage="1" showErrorMessage="1" sqref="H63">
      <formula1>"Completed,Partially Completed,Not Yet Started,No Answer"</formula1>
    </dataValidation>
    <dataValidation type="list" allowBlank="1" showInputMessage="1" showErrorMessage="1" sqref="H66">
      <formula1>"Yes,It Does Not Apply,Partially,I Have Done An Alternative Approach,No,No Answer"</formula1>
    </dataValidation>
    <dataValidation type="list" allowBlank="1" showInputMessage="1" showErrorMessage="1" sqref="H67">
      <formula1>"Completed,Partially Completed,Not Yet Started,No Answer"</formula1>
    </dataValidation>
    <dataValidation type="list" allowBlank="1" showInputMessage="1" showErrorMessage="1" sqref="H70">
      <formula1>"Completed,Partially Completed,Not Yet Started,No Answer"</formula1>
    </dataValidation>
    <dataValidation type="list" allowBlank="1" showInputMessage="1" showErrorMessage="1" sqref="H72">
      <formula1>"Completed,Partially Completed,Not Yet Started,No Answer"</formula1>
    </dataValidation>
    <dataValidation type="list" allowBlank="1" showInputMessage="1" showErrorMessage="1" sqref="H74">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17" r:id="rId2"/>
    <hyperlink ref="A23" r:id="rId3"/>
    <hyperlink ref="A28" r:id="rId4"/>
    <hyperlink ref="A32" r:id="rId5"/>
    <hyperlink ref="A39" r:id="rId6"/>
    <hyperlink ref="A43" r:id="rId7"/>
    <hyperlink ref="A48" r:id="rId8"/>
    <hyperlink ref="A53" r:id="rId9"/>
    <hyperlink ref="A60" r:id="rId10"/>
    <hyperlink ref="A65" r:id="rId11"/>
  </hyperlinks>
  <pageMargins left="0.7" right="0.7" top="0.75" bottom="0.75" header="0.3" footer="0.3"/>
  <drawing r:id="rId12"/>
</worksheet>
</file>

<file path=xl/worksheets/sheet7.xml><?xml version="1.0" encoding="utf-8"?>
<worksheet xmlns="http://schemas.openxmlformats.org/spreadsheetml/2006/main" xmlns:r="http://schemas.openxmlformats.org/officeDocument/2006/relationships">
  <dimension ref="A1:P60"/>
  <sheetViews>
    <sheetView showGridLines="0" workbookViewId="0"/>
  </sheetViews>
  <sheetFormatPr defaultRowHeight="15"/>
  <cols>
    <col min="12" max="12" width="3.7109375" customWidth="1"/>
    <col min="13" max="13" width="61.7109375" customWidth="1"/>
    <col min="14" max="16" width="9.140625" style="12"/>
  </cols>
  <sheetData>
    <row r="1" spans="1:16">
      <c r="A1" s="13" t="s">
        <v>309</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310</v>
      </c>
      <c r="B11" s="21"/>
      <c r="C11" s="21"/>
      <c r="D11" s="21"/>
      <c r="E11" s="21"/>
      <c r="F11" s="21"/>
      <c r="G11" s="21"/>
      <c r="H11" s="20" t="s">
        <v>58</v>
      </c>
      <c r="I11" s="20"/>
      <c r="J11" s="20"/>
      <c r="K11" s="20"/>
      <c r="M11" s="22" t="s">
        <v>59</v>
      </c>
    </row>
    <row r="12" spans="1:16" ht="48" customHeight="1">
      <c r="A12" s="23" t="s">
        <v>311</v>
      </c>
      <c r="B12" s="23"/>
      <c r="C12" s="23"/>
      <c r="D12" s="23"/>
      <c r="E12" s="23"/>
      <c r="F12" s="23"/>
      <c r="G12" s="23"/>
      <c r="H12" s="24" t="s">
        <v>51</v>
      </c>
      <c r="I12" s="24"/>
      <c r="J12" s="24"/>
      <c r="K12" s="24"/>
      <c r="M12" s="22" t="s">
        <v>61</v>
      </c>
      <c r="N12" s="12">
        <f>vlookup(H12,data_summary_by_question!U2:V7,2, FALSE)</f>
        <v>0</v>
      </c>
      <c r="O12" s="12">
        <f>average(N12:N18)</f>
        <v>0</v>
      </c>
      <c r="P12" s="12">
        <f>H12</f>
        <v>0</v>
      </c>
    </row>
    <row r="13" spans="1:16" ht="48" customHeight="1">
      <c r="A13" s="23" t="s">
        <v>312</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3" t="s">
        <v>313</v>
      </c>
      <c r="B14" s="23"/>
      <c r="C14" s="23"/>
      <c r="D14" s="23"/>
      <c r="E14" s="23"/>
      <c r="F14" s="23"/>
      <c r="G14" s="23"/>
      <c r="H14" s="24" t="s">
        <v>51</v>
      </c>
      <c r="I14" s="24"/>
      <c r="J14" s="24"/>
      <c r="K14" s="24"/>
      <c r="M14" s="22" t="s">
        <v>61</v>
      </c>
      <c r="N14" s="12">
        <f>vlookup(H14,data_summary_by_question!U2:V7,2, FALSE)</f>
        <v>0</v>
      </c>
      <c r="P14" s="12">
        <f>H14</f>
        <v>0</v>
      </c>
    </row>
    <row r="15" spans="1:16" ht="48" customHeight="1">
      <c r="A15" s="23" t="s">
        <v>314</v>
      </c>
      <c r="B15" s="23"/>
      <c r="C15" s="23"/>
      <c r="D15" s="23"/>
      <c r="E15" s="23"/>
      <c r="F15" s="23"/>
      <c r="G15" s="23"/>
      <c r="H15" s="24" t="s">
        <v>51</v>
      </c>
      <c r="I15" s="24"/>
      <c r="J15" s="24"/>
      <c r="K15" s="24"/>
      <c r="M15" s="22" t="s">
        <v>61</v>
      </c>
      <c r="N15" s="12">
        <f>vlookup(H15,data_summary_by_question!U2:V7,2, FALSE)</f>
        <v>0</v>
      </c>
      <c r="P15" s="12">
        <f>H15</f>
        <v>0</v>
      </c>
    </row>
    <row r="16" spans="1:16" ht="48" customHeight="1">
      <c r="A16" s="23" t="s">
        <v>315</v>
      </c>
      <c r="B16" s="23"/>
      <c r="C16" s="23"/>
      <c r="D16" s="23"/>
      <c r="E16" s="23"/>
      <c r="F16" s="23"/>
      <c r="G16" s="23"/>
      <c r="H16" s="24" t="s">
        <v>51</v>
      </c>
      <c r="I16" s="24"/>
      <c r="J16" s="24"/>
      <c r="K16" s="24"/>
      <c r="M16" s="22" t="s">
        <v>61</v>
      </c>
      <c r="N16" s="12">
        <f>vlookup(H16,data_summary_by_question!U2:V7,2, FALSE)</f>
        <v>0</v>
      </c>
      <c r="P16" s="12">
        <f>H16</f>
        <v>0</v>
      </c>
    </row>
    <row r="17" spans="1:16" ht="48" customHeight="1">
      <c r="A17" s="23" t="s">
        <v>316</v>
      </c>
      <c r="B17" s="23"/>
      <c r="C17" s="23"/>
      <c r="D17" s="23"/>
      <c r="E17" s="23"/>
      <c r="F17" s="23"/>
      <c r="G17" s="23"/>
      <c r="H17" s="24" t="s">
        <v>51</v>
      </c>
      <c r="I17" s="24"/>
      <c r="J17" s="24"/>
      <c r="K17" s="24"/>
      <c r="M17" s="22" t="s">
        <v>61</v>
      </c>
      <c r="N17" s="12">
        <f>vlookup(H17,data_summary_by_question!U2:V7,2, FALSE)</f>
        <v>0</v>
      </c>
      <c r="P17" s="12">
        <f>H17</f>
        <v>0</v>
      </c>
    </row>
    <row r="18" spans="1:16" ht="48" customHeight="1">
      <c r="A18" s="23" t="s">
        <v>317</v>
      </c>
      <c r="B18" s="23"/>
      <c r="C18" s="23"/>
      <c r="D18" s="23"/>
      <c r="E18" s="23"/>
      <c r="F18" s="23"/>
      <c r="G18" s="23"/>
      <c r="H18" s="24" t="s">
        <v>51</v>
      </c>
      <c r="I18" s="24"/>
      <c r="J18" s="24"/>
      <c r="K18" s="24"/>
      <c r="M18" s="22" t="s">
        <v>61</v>
      </c>
      <c r="N18" s="12">
        <f>vlookup(H18,data_summary_by_question!U2:V7,2, FALSE)</f>
        <v>0</v>
      </c>
      <c r="P18" s="12">
        <f>H18</f>
        <v>0</v>
      </c>
    </row>
    <row r="19" spans="1:16" ht="48" customHeight="1">
      <c r="A19" s="25" t="s">
        <v>67</v>
      </c>
      <c r="B19" s="25"/>
      <c r="C19" s="25"/>
      <c r="D19" s="25"/>
      <c r="E19" s="25"/>
      <c r="F19" s="25"/>
      <c r="G19" s="25"/>
      <c r="H19" s="26" t="s">
        <v>51</v>
      </c>
      <c r="I19" s="26"/>
      <c r="J19" s="26"/>
      <c r="K19" s="26"/>
      <c r="M19" s="26" t="s">
        <v>68</v>
      </c>
    </row>
    <row r="21" spans="1:16" ht="48" customHeight="1">
      <c r="A21" s="21" t="s">
        <v>318</v>
      </c>
      <c r="B21" s="21"/>
      <c r="C21" s="21"/>
      <c r="D21" s="21"/>
      <c r="E21" s="21"/>
      <c r="F21" s="21"/>
      <c r="G21" s="21"/>
      <c r="H21" s="20" t="s">
        <v>58</v>
      </c>
      <c r="I21" s="20"/>
      <c r="J21" s="20"/>
      <c r="K21" s="20"/>
      <c r="M21" s="22" t="s">
        <v>59</v>
      </c>
    </row>
    <row r="22" spans="1:16" ht="48" customHeight="1">
      <c r="A22" s="23" t="s">
        <v>319</v>
      </c>
      <c r="B22" s="23"/>
      <c r="C22" s="23"/>
      <c r="D22" s="23"/>
      <c r="E22" s="23"/>
      <c r="F22" s="23"/>
      <c r="G22" s="23"/>
      <c r="H22" s="24" t="s">
        <v>51</v>
      </c>
      <c r="I22" s="24"/>
      <c r="J22" s="24"/>
      <c r="K22" s="24"/>
      <c r="M22" s="22" t="s">
        <v>61</v>
      </c>
      <c r="N22" s="12">
        <f>vlookup(H22,data_summary_by_question!U2:V7,2, FALSE)</f>
        <v>0</v>
      </c>
      <c r="O22" s="12">
        <f>average(N22:N27)</f>
        <v>0</v>
      </c>
      <c r="P22" s="12">
        <f>H22</f>
        <v>0</v>
      </c>
    </row>
    <row r="23" spans="1:16" ht="48" customHeight="1">
      <c r="A23" s="23" t="s">
        <v>320</v>
      </c>
      <c r="B23" s="23"/>
      <c r="C23" s="23"/>
      <c r="D23" s="23"/>
      <c r="E23" s="23"/>
      <c r="F23" s="23"/>
      <c r="G23" s="23"/>
      <c r="H23" s="24" t="s">
        <v>51</v>
      </c>
      <c r="I23" s="24"/>
      <c r="J23" s="24"/>
      <c r="K23" s="24"/>
      <c r="M23" s="22" t="s">
        <v>61</v>
      </c>
      <c r="N23" s="12">
        <f>vlookup(H23,data_summary_by_question!U2:V7,2, FALSE)</f>
        <v>0</v>
      </c>
      <c r="P23" s="12">
        <f>H23</f>
        <v>0</v>
      </c>
    </row>
    <row r="24" spans="1:16" ht="48" customHeight="1">
      <c r="A24" s="23" t="s">
        <v>321</v>
      </c>
      <c r="B24" s="23"/>
      <c r="C24" s="23"/>
      <c r="D24" s="23"/>
      <c r="E24" s="23"/>
      <c r="F24" s="23"/>
      <c r="G24" s="23"/>
      <c r="H24" s="24" t="s">
        <v>51</v>
      </c>
      <c r="I24" s="24"/>
      <c r="J24" s="24"/>
      <c r="K24" s="24"/>
      <c r="M24" s="22" t="s">
        <v>61</v>
      </c>
      <c r="N24" s="12">
        <f>vlookup(H24,data_summary_by_question!U2:V7,2, FALSE)</f>
        <v>0</v>
      </c>
      <c r="P24" s="12">
        <f>H24</f>
        <v>0</v>
      </c>
    </row>
    <row r="25" spans="1:16" ht="48" customHeight="1">
      <c r="A25" s="23" t="s">
        <v>322</v>
      </c>
      <c r="B25" s="23"/>
      <c r="C25" s="23"/>
      <c r="D25" s="23"/>
      <c r="E25" s="23"/>
      <c r="F25" s="23"/>
      <c r="G25" s="23"/>
      <c r="H25" s="24" t="s">
        <v>51</v>
      </c>
      <c r="I25" s="24"/>
      <c r="J25" s="24"/>
      <c r="K25" s="24"/>
      <c r="M25" s="22" t="s">
        <v>61</v>
      </c>
      <c r="N25" s="12">
        <f>vlookup(H25,data_summary_by_question!U2:V7,2, FALSE)</f>
        <v>0</v>
      </c>
      <c r="P25" s="12">
        <f>H25</f>
        <v>0</v>
      </c>
    </row>
    <row r="26" spans="1:16" ht="48" customHeight="1">
      <c r="A26" s="23" t="s">
        <v>323</v>
      </c>
      <c r="B26" s="23"/>
      <c r="C26" s="23"/>
      <c r="D26" s="23"/>
      <c r="E26" s="23"/>
      <c r="F26" s="23"/>
      <c r="G26" s="23"/>
      <c r="H26" s="24" t="s">
        <v>51</v>
      </c>
      <c r="I26" s="24"/>
      <c r="J26" s="24"/>
      <c r="K26" s="24"/>
      <c r="M26" s="22" t="s">
        <v>61</v>
      </c>
      <c r="N26" s="12">
        <f>vlookup(H26,data_summary_by_question!U2:V7,2, FALSE)</f>
        <v>0</v>
      </c>
      <c r="P26" s="12">
        <f>H26</f>
        <v>0</v>
      </c>
    </row>
    <row r="27" spans="1:16" ht="48" customHeight="1">
      <c r="A27" s="23" t="s">
        <v>324</v>
      </c>
      <c r="B27" s="23"/>
      <c r="C27" s="23"/>
      <c r="D27" s="23"/>
      <c r="E27" s="23"/>
      <c r="F27" s="23"/>
      <c r="G27" s="23"/>
      <c r="H27" s="24" t="s">
        <v>51</v>
      </c>
      <c r="I27" s="24"/>
      <c r="J27" s="24"/>
      <c r="K27" s="24"/>
      <c r="M27" s="22" t="s">
        <v>61</v>
      </c>
      <c r="N27" s="12">
        <f>vlookup(H27,data_summary_by_question!U2:V7,2, FALSE)</f>
        <v>0</v>
      </c>
      <c r="P27" s="12">
        <f>H27</f>
        <v>0</v>
      </c>
    </row>
    <row r="28" spans="1:16" ht="48" customHeight="1">
      <c r="A28" s="25" t="s">
        <v>67</v>
      </c>
      <c r="B28" s="25"/>
      <c r="C28" s="25"/>
      <c r="D28" s="25"/>
      <c r="E28" s="25"/>
      <c r="F28" s="25"/>
      <c r="G28" s="25"/>
      <c r="H28" s="26" t="s">
        <v>51</v>
      </c>
      <c r="I28" s="26"/>
      <c r="J28" s="26"/>
      <c r="K28" s="26"/>
      <c r="M28" s="26" t="s">
        <v>68</v>
      </c>
    </row>
    <row r="30" spans="1:16" ht="48" customHeight="1">
      <c r="A30" s="21" t="s">
        <v>325</v>
      </c>
      <c r="B30" s="21"/>
      <c r="C30" s="21"/>
      <c r="D30" s="21"/>
      <c r="E30" s="21"/>
      <c r="F30" s="21"/>
      <c r="G30" s="21"/>
      <c r="H30" s="20" t="s">
        <v>58</v>
      </c>
      <c r="I30" s="20"/>
      <c r="J30" s="20"/>
      <c r="K30" s="20"/>
      <c r="M30" s="22" t="s">
        <v>59</v>
      </c>
    </row>
    <row r="31" spans="1:16" ht="48" customHeight="1">
      <c r="A31" s="23" t="s">
        <v>326</v>
      </c>
      <c r="B31" s="23"/>
      <c r="C31" s="23"/>
      <c r="D31" s="23"/>
      <c r="E31" s="23"/>
      <c r="F31" s="23"/>
      <c r="G31" s="23"/>
      <c r="H31" s="24" t="s">
        <v>51</v>
      </c>
      <c r="I31" s="24"/>
      <c r="J31" s="24"/>
      <c r="K31" s="24"/>
      <c r="M31" s="22" t="s">
        <v>61</v>
      </c>
      <c r="N31" s="12">
        <f>vlookup(H31,data_summary_by_question!U2:V7,2, FALSE)</f>
        <v>0</v>
      </c>
      <c r="O31" s="12">
        <f>average(N31:N31)</f>
        <v>0</v>
      </c>
      <c r="P31" s="12">
        <f>H31</f>
        <v>0</v>
      </c>
    </row>
    <row r="32" spans="1:16" ht="48" customHeight="1">
      <c r="A32" s="25" t="s">
        <v>67</v>
      </c>
      <c r="B32" s="25"/>
      <c r="C32" s="25"/>
      <c r="D32" s="25"/>
      <c r="E32" s="25"/>
      <c r="F32" s="25"/>
      <c r="G32" s="25"/>
      <c r="H32" s="26" t="s">
        <v>51</v>
      </c>
      <c r="I32" s="26"/>
      <c r="J32" s="26"/>
      <c r="K32" s="26"/>
      <c r="M32" s="26" t="s">
        <v>68</v>
      </c>
    </row>
    <row r="35" spans="1:13" ht="48" customHeight="1">
      <c r="A35" s="25" t="s">
        <v>154</v>
      </c>
      <c r="B35" s="25"/>
      <c r="C35" s="25"/>
      <c r="D35" s="25"/>
      <c r="E35" s="25"/>
      <c r="F35" s="25"/>
      <c r="G35" s="25"/>
      <c r="H35" s="26" t="s">
        <v>51</v>
      </c>
      <c r="I35" s="26"/>
      <c r="J35" s="26"/>
      <c r="K35" s="26"/>
      <c r="M35" s="26" t="s">
        <v>61</v>
      </c>
    </row>
    <row r="37" spans="1:13" ht="48" customHeight="1">
      <c r="A37" s="25" t="s">
        <v>155</v>
      </c>
      <c r="B37" s="25"/>
      <c r="C37" s="25"/>
      <c r="D37" s="25"/>
      <c r="E37" s="25"/>
      <c r="F37" s="25"/>
      <c r="G37" s="25"/>
      <c r="H37" s="26" t="s">
        <v>51</v>
      </c>
      <c r="I37" s="26"/>
      <c r="J37" s="26"/>
      <c r="K37" s="26"/>
      <c r="M37" s="26" t="s">
        <v>61</v>
      </c>
    </row>
    <row r="39" spans="1:13" ht="48" customHeight="1">
      <c r="A39" s="25" t="s">
        <v>156</v>
      </c>
      <c r="B39" s="25"/>
      <c r="C39" s="25"/>
      <c r="D39" s="25"/>
      <c r="E39" s="25"/>
      <c r="F39" s="25"/>
      <c r="G39" s="25"/>
      <c r="H39" s="26" t="s">
        <v>51</v>
      </c>
      <c r="I39" s="26"/>
      <c r="J39" s="26"/>
      <c r="K39" s="26"/>
      <c r="M39" s="26" t="s">
        <v>61</v>
      </c>
    </row>
    <row r="43" spans="1:13" s="12" customFormat="1">
      <c r="A43" s="12" t="s">
        <v>157</v>
      </c>
      <c r="B43" s="12" t="s">
        <v>158</v>
      </c>
      <c r="C43" s="12" t="s">
        <v>159</v>
      </c>
    </row>
    <row r="44" spans="1:13" s="12" customFormat="1">
      <c r="A44" s="12" t="s">
        <v>46</v>
      </c>
      <c r="B44" s="12">
        <f>COUNTIF(P12:P32,A44)</f>
        <v>0</v>
      </c>
      <c r="C44" s="12">
        <f>B44/ B51</f>
        <v>0</v>
      </c>
    </row>
    <row r="45" spans="1:13" s="12" customFormat="1">
      <c r="A45" s="12" t="s">
        <v>47</v>
      </c>
      <c r="B45" s="12">
        <f>COUNTIF(P12:P32,A45)</f>
        <v>0</v>
      </c>
      <c r="C45" s="12">
        <f>B45/ B51</f>
        <v>0</v>
      </c>
    </row>
    <row r="46" spans="1:13" s="12" customFormat="1">
      <c r="A46" s="12" t="s">
        <v>48</v>
      </c>
      <c r="B46" s="12">
        <f>COUNTIF(P12:P32,A46)</f>
        <v>0</v>
      </c>
      <c r="C46" s="12">
        <f>B46/ B51</f>
        <v>0</v>
      </c>
    </row>
    <row r="47" spans="1:13" s="12" customFormat="1">
      <c r="A47" s="12" t="s">
        <v>49</v>
      </c>
      <c r="B47" s="12">
        <f>COUNTIF(P12:P32,A47)</f>
        <v>0</v>
      </c>
      <c r="C47" s="12">
        <f>B47/ B51</f>
        <v>0</v>
      </c>
    </row>
    <row r="48" spans="1:13" s="12" customFormat="1">
      <c r="A48" s="12" t="s">
        <v>50</v>
      </c>
      <c r="B48" s="12">
        <f>COUNTIF(P12:P32,A48)</f>
        <v>0</v>
      </c>
      <c r="C48" s="12">
        <f>B48/ B51</f>
        <v>0</v>
      </c>
    </row>
    <row r="49" spans="1:3" s="12" customFormat="1">
      <c r="A49" s="12" t="s">
        <v>51</v>
      </c>
      <c r="B49" s="12">
        <f>COUNTIF(P12:P32,A49)</f>
        <v>0</v>
      </c>
      <c r="C49" s="12">
        <f>B49/ B51</f>
        <v>0</v>
      </c>
    </row>
    <row r="50" spans="1:3" s="12" customFormat="1"/>
    <row r="51" spans="1:3" s="12" customFormat="1">
      <c r="A51" s="12" t="s">
        <v>160</v>
      </c>
      <c r="B51" s="12">
        <f>SUM(B44:B49)</f>
        <v>0</v>
      </c>
    </row>
    <row r="52" spans="1:3" s="12" customFormat="1"/>
    <row r="53" spans="1:3" s="12" customFormat="1">
      <c r="A53" s="12" t="s">
        <v>161</v>
      </c>
    </row>
    <row r="54" spans="1:3" s="12" customFormat="1">
      <c r="A54" s="12" t="s">
        <v>162</v>
      </c>
      <c r="B54" s="12">
        <f>countifs(O12:O32,"&gt;=1.0", O12:O32,"&lt;=1.0")</f>
        <v>0</v>
      </c>
    </row>
    <row r="55" spans="1:3" s="12" customFormat="1">
      <c r="A55" s="12" t="s">
        <v>163</v>
      </c>
      <c r="B55" s="12">
        <f>countifs(O12:O32,"&gt;=0.75", O12:O32,"&lt;=0.99")</f>
        <v>0</v>
      </c>
    </row>
    <row r="56" spans="1:3" s="12" customFormat="1">
      <c r="A56" s="12" t="s">
        <v>164</v>
      </c>
      <c r="B56" s="12">
        <f>countifs(O12:O32,"&gt;=0.5", O12:O32,"&lt;=0.74")</f>
        <v>0</v>
      </c>
    </row>
    <row r="57" spans="1:3" s="12" customFormat="1">
      <c r="A57" s="12" t="s">
        <v>165</v>
      </c>
      <c r="B57" s="12">
        <f>countifs(O12:O32,"&gt;=0.25", O12:O32,"&lt;=0.49")</f>
        <v>0</v>
      </c>
    </row>
    <row r="58" spans="1:3" s="12" customFormat="1">
      <c r="A58" s="12" t="s">
        <v>166</v>
      </c>
      <c r="B58" s="12">
        <f>countifs(O12:O32,"&gt;=0.0", O12:O32,"&lt;=0.24")</f>
        <v>0</v>
      </c>
    </row>
    <row r="59" spans="1:3" s="12" customFormat="1"/>
    <row r="60" spans="1:3" s="12" customFormat="1">
      <c r="A60" s="12" t="s">
        <v>160</v>
      </c>
      <c r="B60" s="12">
        <f>SUM(B54:B58)</f>
        <v>0</v>
      </c>
    </row>
  </sheetData>
  <sheetProtection password="E4E4" sheet="1" objects="1" scenarios="1"/>
  <mergeCells count="69">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5:G15"/>
    <mergeCell ref="H15:K15"/>
    <mergeCell ref="A16:G16"/>
    <mergeCell ref="H16:K16"/>
    <mergeCell ref="A17:G17"/>
    <mergeCell ref="H17:K17"/>
    <mergeCell ref="A18:G18"/>
    <mergeCell ref="H18:K18"/>
    <mergeCell ref="A19:G19"/>
    <mergeCell ref="H19:K19"/>
    <mergeCell ref="A21:G21"/>
    <mergeCell ref="H21:K21"/>
    <mergeCell ref="A22:G22"/>
    <mergeCell ref="H22:K22"/>
    <mergeCell ref="A23:G23"/>
    <mergeCell ref="H23:K23"/>
    <mergeCell ref="A24:G24"/>
    <mergeCell ref="H24:K24"/>
    <mergeCell ref="A25:G25"/>
    <mergeCell ref="H25:K25"/>
    <mergeCell ref="A26:G26"/>
    <mergeCell ref="H26:K26"/>
    <mergeCell ref="A27:G27"/>
    <mergeCell ref="H27:K27"/>
    <mergeCell ref="A28:G28"/>
    <mergeCell ref="H28:K28"/>
    <mergeCell ref="A30:G30"/>
    <mergeCell ref="H30:K30"/>
    <mergeCell ref="A31:G31"/>
    <mergeCell ref="H31:K31"/>
    <mergeCell ref="A32:G32"/>
    <mergeCell ref="H32:K32"/>
    <mergeCell ref="A35:G35"/>
    <mergeCell ref="H35:K35"/>
    <mergeCell ref="A37:G37"/>
    <mergeCell ref="H37:K37"/>
    <mergeCell ref="A39:G39"/>
    <mergeCell ref="H39:K39"/>
  </mergeCells>
  <dataValidations count="20">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"Yes,It Does Not Apply,Partially,I Have Done An Alternative Approach,No,No Answer"</formula1>
    </dataValidation>
    <dataValidation type="list" allowBlank="1" showInputMessage="1" showErrorMessage="1" sqref="H15">
      <formula1>"Yes,It Does Not Apply,Partially,I Have Done An Alternative Approach,No,No Answer"</formula1>
    </dataValidation>
    <dataValidation type="list" allowBlank="1" showInputMessage="1" showErrorMessage="1" sqref="H16">
      <formula1>"Yes,It Does Not Apply,Partially,I Have Done An Alternative Approach,No,No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"Yes,It Does Not Apply,Partially,I Have Done An Alternative Approach,No,No Answer"</formula1>
    </dataValidation>
    <dataValidation type="list" allowBlank="1" showInputMessage="1" showErrorMessage="1" sqref="H19">
      <formula1>"Completed,Partially Completed,Not Yet Started,No Answer"</formula1>
    </dataValidation>
    <dataValidation type="list" allowBlank="1" showInputMessage="1" showErrorMessage="1" sqref="H22">
      <formula1>"Yes,It Does Not Apply,Partially,I Have Done An Alternative Approach,No,No Answer"</formula1>
    </dataValidation>
    <dataValidation type="list" allowBlank="1" showInputMessage="1" showErrorMessage="1" sqref="H23">
      <formula1>"Yes,It Does Not Apply,Partially,I Have Done An Alternative Approach,No,No Answer"</formula1>
    </dataValidation>
    <dataValidation type="list" allowBlank="1" showInputMessage="1" showErrorMessage="1" sqref="H24">
      <formula1>"Yes,It Does Not Apply,Partially,I Have Done An Alternative Approach,No,No Answer"</formula1>
    </dataValidation>
    <dataValidation type="list" allowBlank="1" showInputMessage="1" showErrorMessage="1" sqref="H25">
      <formula1>"Yes,It Does Not Apply,Partially,I Have Done An Alternative Approach,No,No Answer"</formula1>
    </dataValidation>
    <dataValidation type="list" allowBlank="1" showInputMessage="1" showErrorMessage="1" sqref="H26">
      <formula1>"Yes,It Does Not Apply,Partially,I Have Done An Alternative Approach,No,No Answer"</formula1>
    </dataValidation>
    <dataValidation type="list" allowBlank="1" showInputMessage="1" showErrorMessage="1" sqref="H27">
      <formula1>"Yes,It Does Not Apply,Partially,I Have Done An Alternative Approach,No,No Answer"</formula1>
    </dataValidation>
    <dataValidation type="list" allowBlank="1" showInputMessage="1" showErrorMessage="1" sqref="H28">
      <formula1>"Completed,Partially Completed,Not Yet Started,No Answer"</formula1>
    </dataValidation>
    <dataValidation type="list" allowBlank="1" showInputMessage="1" showErrorMessage="1" sqref="H31">
      <formula1>"Yes,It Does Not Apply,Partially,I Have Done An Alternative Approach,No,No Answer"</formula1>
    </dataValidation>
    <dataValidation type="list" allowBlank="1" showInputMessage="1" showErrorMessage="1" sqref="H32">
      <formula1>"Completed,Partially Completed,Not Yet Started,No Answer"</formula1>
    </dataValidation>
    <dataValidation type="list" allowBlank="1" showInputMessage="1" showErrorMessage="1" sqref="H35">
      <formula1>"Completed,Partially Completed,Not Yet Started,No Answer"</formula1>
    </dataValidation>
    <dataValidation type="list" allowBlank="1" showInputMessage="1" showErrorMessage="1" sqref="H37">
      <formula1>"Completed,Partially Completed,Not Yet Started,No Answer"</formula1>
    </dataValidation>
    <dataValidation type="list" allowBlank="1" showInputMessage="1" showErrorMessage="1" sqref="H39">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21" r:id="rId2"/>
    <hyperlink ref="A30" r:id="rId3"/>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dimension ref="A1:P65"/>
  <sheetViews>
    <sheetView showGridLines="0" workbookViewId="0"/>
  </sheetViews>
  <sheetFormatPr defaultRowHeight="15"/>
  <cols>
    <col min="12" max="12" width="3.7109375" customWidth="1"/>
    <col min="13" max="13" width="61.7109375" customWidth="1"/>
    <col min="14" max="16" width="9.140625" style="12"/>
  </cols>
  <sheetData>
    <row r="1" spans="1:16">
      <c r="A1" s="13" t="s">
        <v>327</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328</v>
      </c>
      <c r="B11" s="21"/>
      <c r="C11" s="21"/>
      <c r="D11" s="21"/>
      <c r="E11" s="21"/>
      <c r="F11" s="21"/>
      <c r="G11" s="21"/>
      <c r="H11" s="20" t="s">
        <v>58</v>
      </c>
      <c r="I11" s="20"/>
      <c r="J11" s="20"/>
      <c r="K11" s="20"/>
      <c r="M11" s="22" t="s">
        <v>59</v>
      </c>
    </row>
    <row r="12" spans="1:16" ht="48" customHeight="1">
      <c r="A12" s="23" t="s">
        <v>329</v>
      </c>
      <c r="B12" s="23"/>
      <c r="C12" s="23"/>
      <c r="D12" s="23"/>
      <c r="E12" s="23"/>
      <c r="F12" s="23"/>
      <c r="G12" s="23"/>
      <c r="H12" s="24" t="s">
        <v>51</v>
      </c>
      <c r="I12" s="24"/>
      <c r="J12" s="24"/>
      <c r="K12" s="24"/>
      <c r="M12" s="22" t="s">
        <v>61</v>
      </c>
      <c r="N12" s="12">
        <f>vlookup(H12,data_summary_by_question!U2:V7,2, FALSE)</f>
        <v>0</v>
      </c>
      <c r="O12" s="12">
        <f>average(N12:N12)</f>
        <v>0</v>
      </c>
      <c r="P12" s="12">
        <f>H12</f>
        <v>0</v>
      </c>
    </row>
    <row r="13" spans="1:16" ht="48" customHeight="1">
      <c r="A13" s="25" t="s">
        <v>67</v>
      </c>
      <c r="B13" s="25"/>
      <c r="C13" s="25"/>
      <c r="D13" s="25"/>
      <c r="E13" s="25"/>
      <c r="F13" s="25"/>
      <c r="G13" s="25"/>
      <c r="H13" s="26" t="s">
        <v>51</v>
      </c>
      <c r="I13" s="26"/>
      <c r="J13" s="26"/>
      <c r="K13" s="26"/>
      <c r="M13" s="26" t="s">
        <v>68</v>
      </c>
    </row>
    <row r="15" spans="1:16" ht="48" customHeight="1">
      <c r="A15" s="21" t="s">
        <v>330</v>
      </c>
      <c r="B15" s="21"/>
      <c r="C15" s="21"/>
      <c r="D15" s="21"/>
      <c r="E15" s="21"/>
      <c r="F15" s="21"/>
      <c r="G15" s="21"/>
      <c r="H15" s="20" t="s">
        <v>58</v>
      </c>
      <c r="I15" s="20"/>
      <c r="J15" s="20"/>
      <c r="K15" s="20"/>
      <c r="M15" s="22" t="s">
        <v>59</v>
      </c>
    </row>
    <row r="16" spans="1:16" ht="48" customHeight="1">
      <c r="A16" s="23" t="s">
        <v>331</v>
      </c>
      <c r="B16" s="23"/>
      <c r="C16" s="23"/>
      <c r="D16" s="23"/>
      <c r="E16" s="23"/>
      <c r="F16" s="23"/>
      <c r="G16" s="23"/>
      <c r="H16" s="24" t="s">
        <v>51</v>
      </c>
      <c r="I16" s="24"/>
      <c r="J16" s="24"/>
      <c r="K16" s="24"/>
      <c r="M16" s="22" t="s">
        <v>61</v>
      </c>
      <c r="N16" s="12">
        <f>vlookup(H16,data_summary_by_question!U2:V7,2, FALSE)</f>
        <v>0</v>
      </c>
      <c r="O16" s="12">
        <f>average(N16:N19)</f>
        <v>0</v>
      </c>
      <c r="P16" s="12">
        <f>H16</f>
        <v>0</v>
      </c>
    </row>
    <row r="17" spans="1:16" ht="48" customHeight="1">
      <c r="A17" s="23" t="s">
        <v>332</v>
      </c>
      <c r="B17" s="23"/>
      <c r="C17" s="23"/>
      <c r="D17" s="23"/>
      <c r="E17" s="23"/>
      <c r="F17" s="23"/>
      <c r="G17" s="23"/>
      <c r="H17" s="24" t="s">
        <v>51</v>
      </c>
      <c r="I17" s="24"/>
      <c r="J17" s="24"/>
      <c r="K17" s="24"/>
      <c r="M17" s="22" t="s">
        <v>61</v>
      </c>
      <c r="N17" s="12">
        <f>vlookup(H17,data_summary_by_question!U2:V7,2, FALSE)</f>
        <v>0</v>
      </c>
      <c r="P17" s="12">
        <f>H17</f>
        <v>0</v>
      </c>
    </row>
    <row r="18" spans="1:16" ht="48" customHeight="1">
      <c r="A18" s="23" t="s">
        <v>333</v>
      </c>
      <c r="B18" s="23"/>
      <c r="C18" s="23"/>
      <c r="D18" s="23"/>
      <c r="E18" s="23"/>
      <c r="F18" s="23"/>
      <c r="G18" s="23"/>
      <c r="H18" s="24" t="s">
        <v>51</v>
      </c>
      <c r="I18" s="24"/>
      <c r="J18" s="24"/>
      <c r="K18" s="24"/>
      <c r="M18" s="22" t="s">
        <v>61</v>
      </c>
      <c r="N18" s="12">
        <f>vlookup(H18,data_summary_by_question!U2:V7,2, FALSE)</f>
        <v>0</v>
      </c>
      <c r="P18" s="12">
        <f>H18</f>
        <v>0</v>
      </c>
    </row>
    <row r="19" spans="1:16" ht="48" customHeight="1">
      <c r="A19" s="23" t="s">
        <v>334</v>
      </c>
      <c r="B19" s="23"/>
      <c r="C19" s="23"/>
      <c r="D19" s="23"/>
      <c r="E19" s="23"/>
      <c r="F19" s="23"/>
      <c r="G19" s="23"/>
      <c r="H19" s="24" t="s">
        <v>51</v>
      </c>
      <c r="I19" s="24"/>
      <c r="J19" s="24"/>
      <c r="K19" s="24"/>
      <c r="M19" s="22" t="s">
        <v>61</v>
      </c>
      <c r="N19" s="12">
        <f>vlookup(H19,data_summary_by_question!U2:V7,2, FALSE)</f>
        <v>0</v>
      </c>
      <c r="P19" s="12">
        <f>H19</f>
        <v>0</v>
      </c>
    </row>
    <row r="20" spans="1:16" ht="48" customHeight="1">
      <c r="A20" s="25" t="s">
        <v>67</v>
      </c>
      <c r="B20" s="25"/>
      <c r="C20" s="25"/>
      <c r="D20" s="25"/>
      <c r="E20" s="25"/>
      <c r="F20" s="25"/>
      <c r="G20" s="25"/>
      <c r="H20" s="26" t="s">
        <v>51</v>
      </c>
      <c r="I20" s="26"/>
      <c r="J20" s="26"/>
      <c r="K20" s="26"/>
      <c r="M20" s="26" t="s">
        <v>68</v>
      </c>
    </row>
    <row r="22" spans="1:16" ht="48" customHeight="1">
      <c r="A22" s="21" t="s">
        <v>335</v>
      </c>
      <c r="B22" s="21"/>
      <c r="C22" s="21"/>
      <c r="D22" s="21"/>
      <c r="E22" s="21"/>
      <c r="F22" s="21"/>
      <c r="G22" s="21"/>
      <c r="H22" s="20" t="s">
        <v>58</v>
      </c>
      <c r="I22" s="20"/>
      <c r="J22" s="20"/>
      <c r="K22" s="20"/>
      <c r="M22" s="22" t="s">
        <v>59</v>
      </c>
    </row>
    <row r="23" spans="1:16" ht="48" customHeight="1">
      <c r="A23" s="23" t="s">
        <v>336</v>
      </c>
      <c r="B23" s="23"/>
      <c r="C23" s="23"/>
      <c r="D23" s="23"/>
      <c r="E23" s="23"/>
      <c r="F23" s="23"/>
      <c r="G23" s="23"/>
      <c r="H23" s="24" t="s">
        <v>51</v>
      </c>
      <c r="I23" s="24"/>
      <c r="J23" s="24"/>
      <c r="K23" s="24"/>
      <c r="M23" s="22" t="s">
        <v>61</v>
      </c>
      <c r="N23" s="12">
        <f>vlookup(H23,data_summary_by_question!U2:V7,2, FALSE)</f>
        <v>0</v>
      </c>
      <c r="O23" s="12">
        <f>average(N23:N23)</f>
        <v>0</v>
      </c>
      <c r="P23" s="12">
        <f>H23</f>
        <v>0</v>
      </c>
    </row>
    <row r="24" spans="1:16" ht="48" customHeight="1">
      <c r="A24" s="25" t="s">
        <v>67</v>
      </c>
      <c r="B24" s="25"/>
      <c r="C24" s="25"/>
      <c r="D24" s="25"/>
      <c r="E24" s="25"/>
      <c r="F24" s="25"/>
      <c r="G24" s="25"/>
      <c r="H24" s="26" t="s">
        <v>51</v>
      </c>
      <c r="I24" s="26"/>
      <c r="J24" s="26"/>
      <c r="K24" s="26"/>
      <c r="M24" s="26" t="s">
        <v>68</v>
      </c>
    </row>
    <row r="26" spans="1:16" ht="48" customHeight="1">
      <c r="A26" s="21" t="s">
        <v>337</v>
      </c>
      <c r="B26" s="21"/>
      <c r="C26" s="21"/>
      <c r="D26" s="21"/>
      <c r="E26" s="21"/>
      <c r="F26" s="21"/>
      <c r="G26" s="21"/>
      <c r="H26" s="20" t="s">
        <v>58</v>
      </c>
      <c r="I26" s="20"/>
      <c r="J26" s="20"/>
      <c r="K26" s="20"/>
      <c r="M26" s="22" t="s">
        <v>59</v>
      </c>
    </row>
    <row r="27" spans="1:16" ht="48" customHeight="1">
      <c r="A27" s="23" t="s">
        <v>338</v>
      </c>
      <c r="B27" s="23"/>
      <c r="C27" s="23"/>
      <c r="D27" s="23"/>
      <c r="E27" s="23"/>
      <c r="F27" s="23"/>
      <c r="G27" s="23"/>
      <c r="H27" s="24" t="s">
        <v>51</v>
      </c>
      <c r="I27" s="24"/>
      <c r="J27" s="24"/>
      <c r="K27" s="24"/>
      <c r="M27" s="22" t="s">
        <v>61</v>
      </c>
      <c r="N27" s="12">
        <f>vlookup(H27,data_summary_by_question!U2:V7,2, FALSE)</f>
        <v>0</v>
      </c>
      <c r="O27" s="12">
        <f>average(N27:N27)</f>
        <v>0</v>
      </c>
      <c r="P27" s="12">
        <f>H27</f>
        <v>0</v>
      </c>
    </row>
    <row r="28" spans="1:16" ht="48" customHeight="1">
      <c r="A28" s="25" t="s">
        <v>67</v>
      </c>
      <c r="B28" s="25"/>
      <c r="C28" s="25"/>
      <c r="D28" s="25"/>
      <c r="E28" s="25"/>
      <c r="F28" s="25"/>
      <c r="G28" s="25"/>
      <c r="H28" s="26" t="s">
        <v>51</v>
      </c>
      <c r="I28" s="26"/>
      <c r="J28" s="26"/>
      <c r="K28" s="26"/>
      <c r="M28" s="26" t="s">
        <v>68</v>
      </c>
    </row>
    <row r="30" spans="1:16" ht="48" customHeight="1">
      <c r="A30" s="21" t="s">
        <v>339</v>
      </c>
      <c r="B30" s="21"/>
      <c r="C30" s="21"/>
      <c r="D30" s="21"/>
      <c r="E30" s="21"/>
      <c r="F30" s="21"/>
      <c r="G30" s="21"/>
      <c r="H30" s="20" t="s">
        <v>58</v>
      </c>
      <c r="I30" s="20"/>
      <c r="J30" s="20"/>
      <c r="K30" s="20"/>
      <c r="M30" s="22" t="s">
        <v>59</v>
      </c>
    </row>
    <row r="31" spans="1:16" ht="48" customHeight="1">
      <c r="A31" s="23" t="s">
        <v>340</v>
      </c>
      <c r="B31" s="23"/>
      <c r="C31" s="23"/>
      <c r="D31" s="23"/>
      <c r="E31" s="23"/>
      <c r="F31" s="23"/>
      <c r="G31" s="23"/>
      <c r="H31" s="24" t="s">
        <v>51</v>
      </c>
      <c r="I31" s="24"/>
      <c r="J31" s="24"/>
      <c r="K31" s="24"/>
      <c r="M31" s="22" t="s">
        <v>61</v>
      </c>
      <c r="N31" s="12">
        <f>vlookup(H31,data_summary_by_question!U2:V7,2, FALSE)</f>
        <v>0</v>
      </c>
      <c r="O31" s="12">
        <f>average(N31:N32)</f>
        <v>0</v>
      </c>
      <c r="P31" s="12">
        <f>H31</f>
        <v>0</v>
      </c>
    </row>
    <row r="32" spans="1:16" ht="48" customHeight="1">
      <c r="A32" s="23" t="s">
        <v>341</v>
      </c>
      <c r="B32" s="23"/>
      <c r="C32" s="23"/>
      <c r="D32" s="23"/>
      <c r="E32" s="23"/>
      <c r="F32" s="23"/>
      <c r="G32" s="23"/>
      <c r="H32" s="24" t="s">
        <v>51</v>
      </c>
      <c r="I32" s="24"/>
      <c r="J32" s="24"/>
      <c r="K32" s="24"/>
      <c r="M32" s="22" t="s">
        <v>61</v>
      </c>
      <c r="N32" s="12">
        <f>vlookup(H32,data_summary_by_question!U2:V7,2, FALSE)</f>
        <v>0</v>
      </c>
      <c r="P32" s="12">
        <f>H32</f>
        <v>0</v>
      </c>
    </row>
    <row r="33" spans="1:16" ht="48" customHeight="1">
      <c r="A33" s="25" t="s">
        <v>67</v>
      </c>
      <c r="B33" s="25"/>
      <c r="C33" s="25"/>
      <c r="D33" s="25"/>
      <c r="E33" s="25"/>
      <c r="F33" s="25"/>
      <c r="G33" s="25"/>
      <c r="H33" s="26" t="s">
        <v>51</v>
      </c>
      <c r="I33" s="26"/>
      <c r="J33" s="26"/>
      <c r="K33" s="26"/>
      <c r="M33" s="26" t="s">
        <v>68</v>
      </c>
    </row>
    <row r="35" spans="1:16" ht="48" customHeight="1">
      <c r="A35" s="21" t="s">
        <v>342</v>
      </c>
      <c r="B35" s="21"/>
      <c r="C35" s="21"/>
      <c r="D35" s="21"/>
      <c r="E35" s="21"/>
      <c r="F35" s="21"/>
      <c r="G35" s="21"/>
      <c r="H35" s="20" t="s">
        <v>58</v>
      </c>
      <c r="I35" s="20"/>
      <c r="J35" s="20"/>
      <c r="K35" s="20"/>
      <c r="M35" s="22" t="s">
        <v>59</v>
      </c>
    </row>
    <row r="36" spans="1:16" ht="48" customHeight="1">
      <c r="A36" s="23" t="s">
        <v>343</v>
      </c>
      <c r="B36" s="23"/>
      <c r="C36" s="23"/>
      <c r="D36" s="23"/>
      <c r="E36" s="23"/>
      <c r="F36" s="23"/>
      <c r="G36" s="23"/>
      <c r="H36" s="24" t="s">
        <v>51</v>
      </c>
      <c r="I36" s="24"/>
      <c r="J36" s="24"/>
      <c r="K36" s="24"/>
      <c r="M36" s="22" t="s">
        <v>61</v>
      </c>
      <c r="N36" s="12">
        <f>vlookup(H36,data_summary_by_question!U2:V7,2, FALSE)</f>
        <v>0</v>
      </c>
      <c r="O36" s="12">
        <f>average(N36:N36)</f>
        <v>0</v>
      </c>
      <c r="P36" s="12">
        <f>H36</f>
        <v>0</v>
      </c>
    </row>
    <row r="37" spans="1:16" ht="48" customHeight="1">
      <c r="A37" s="25" t="s">
        <v>67</v>
      </c>
      <c r="B37" s="25"/>
      <c r="C37" s="25"/>
      <c r="D37" s="25"/>
      <c r="E37" s="25"/>
      <c r="F37" s="25"/>
      <c r="G37" s="25"/>
      <c r="H37" s="26" t="s">
        <v>51</v>
      </c>
      <c r="I37" s="26"/>
      <c r="J37" s="26"/>
      <c r="K37" s="26"/>
      <c r="M37" s="26" t="s">
        <v>68</v>
      </c>
    </row>
    <row r="40" spans="1:16" ht="48" customHeight="1">
      <c r="A40" s="25" t="s">
        <v>154</v>
      </c>
      <c r="B40" s="25"/>
      <c r="C40" s="25"/>
      <c r="D40" s="25"/>
      <c r="E40" s="25"/>
      <c r="F40" s="25"/>
      <c r="G40" s="25"/>
      <c r="H40" s="26" t="s">
        <v>51</v>
      </c>
      <c r="I40" s="26"/>
      <c r="J40" s="26"/>
      <c r="K40" s="26"/>
      <c r="M40" s="26" t="s">
        <v>61</v>
      </c>
    </row>
    <row r="42" spans="1:16" ht="48" customHeight="1">
      <c r="A42" s="25" t="s">
        <v>155</v>
      </c>
      <c r="B42" s="25"/>
      <c r="C42" s="25"/>
      <c r="D42" s="25"/>
      <c r="E42" s="25"/>
      <c r="F42" s="25"/>
      <c r="G42" s="25"/>
      <c r="H42" s="26" t="s">
        <v>51</v>
      </c>
      <c r="I42" s="26"/>
      <c r="J42" s="26"/>
      <c r="K42" s="26"/>
      <c r="M42" s="26" t="s">
        <v>61</v>
      </c>
    </row>
    <row r="44" spans="1:16" ht="48" customHeight="1">
      <c r="A44" s="25" t="s">
        <v>156</v>
      </c>
      <c r="B44" s="25"/>
      <c r="C44" s="25"/>
      <c r="D44" s="25"/>
      <c r="E44" s="25"/>
      <c r="F44" s="25"/>
      <c r="G44" s="25"/>
      <c r="H44" s="26" t="s">
        <v>51</v>
      </c>
      <c r="I44" s="26"/>
      <c r="J44" s="26"/>
      <c r="K44" s="26"/>
      <c r="M44" s="26" t="s">
        <v>61</v>
      </c>
    </row>
    <row r="48" spans="1:16" s="12" customFormat="1">
      <c r="A48" s="12" t="s">
        <v>157</v>
      </c>
      <c r="B48" s="12" t="s">
        <v>158</v>
      </c>
      <c r="C48" s="12" t="s">
        <v>159</v>
      </c>
    </row>
    <row r="49" spans="1:3" s="12" customFormat="1">
      <c r="A49" s="12" t="s">
        <v>46</v>
      </c>
      <c r="B49" s="12">
        <f>COUNTIF(P12:P37,A49)</f>
        <v>0</v>
      </c>
      <c r="C49" s="12">
        <f>B49/ B56</f>
        <v>0</v>
      </c>
    </row>
    <row r="50" spans="1:3" s="12" customFormat="1">
      <c r="A50" s="12" t="s">
        <v>47</v>
      </c>
      <c r="B50" s="12">
        <f>COUNTIF(P12:P37,A50)</f>
        <v>0</v>
      </c>
      <c r="C50" s="12">
        <f>B50/ B56</f>
        <v>0</v>
      </c>
    </row>
    <row r="51" spans="1:3" s="12" customFormat="1">
      <c r="A51" s="12" t="s">
        <v>48</v>
      </c>
      <c r="B51" s="12">
        <f>COUNTIF(P12:P37,A51)</f>
        <v>0</v>
      </c>
      <c r="C51" s="12">
        <f>B51/ B56</f>
        <v>0</v>
      </c>
    </row>
    <row r="52" spans="1:3" s="12" customFormat="1">
      <c r="A52" s="12" t="s">
        <v>49</v>
      </c>
      <c r="B52" s="12">
        <f>COUNTIF(P12:P37,A52)</f>
        <v>0</v>
      </c>
      <c r="C52" s="12">
        <f>B52/ B56</f>
        <v>0</v>
      </c>
    </row>
    <row r="53" spans="1:3" s="12" customFormat="1">
      <c r="A53" s="12" t="s">
        <v>50</v>
      </c>
      <c r="B53" s="12">
        <f>COUNTIF(P12:P37,A53)</f>
        <v>0</v>
      </c>
      <c r="C53" s="12">
        <f>B53/ B56</f>
        <v>0</v>
      </c>
    </row>
    <row r="54" spans="1:3" s="12" customFormat="1">
      <c r="A54" s="12" t="s">
        <v>51</v>
      </c>
      <c r="B54" s="12">
        <f>COUNTIF(P12:P37,A54)</f>
        <v>0</v>
      </c>
      <c r="C54" s="12">
        <f>B54/ B56</f>
        <v>0</v>
      </c>
    </row>
    <row r="55" spans="1:3" s="12" customFormat="1"/>
    <row r="56" spans="1:3" s="12" customFormat="1">
      <c r="A56" s="12" t="s">
        <v>160</v>
      </c>
      <c r="B56" s="12">
        <f>SUM(B49:B54)</f>
        <v>0</v>
      </c>
    </row>
    <row r="57" spans="1:3" s="12" customFormat="1"/>
    <row r="58" spans="1:3" s="12" customFormat="1">
      <c r="A58" s="12" t="s">
        <v>161</v>
      </c>
    </row>
    <row r="59" spans="1:3" s="12" customFormat="1">
      <c r="A59" s="12" t="s">
        <v>162</v>
      </c>
      <c r="B59" s="12">
        <f>countifs(O12:O37,"&gt;=1.0", O12:O37,"&lt;=1.0")</f>
        <v>0</v>
      </c>
    </row>
    <row r="60" spans="1:3" s="12" customFormat="1">
      <c r="A60" s="12" t="s">
        <v>163</v>
      </c>
      <c r="B60" s="12">
        <f>countifs(O12:O37,"&gt;=0.75", O12:O37,"&lt;=0.99")</f>
        <v>0</v>
      </c>
    </row>
    <row r="61" spans="1:3" s="12" customFormat="1">
      <c r="A61" s="12" t="s">
        <v>164</v>
      </c>
      <c r="B61" s="12">
        <f>countifs(O12:O37,"&gt;=0.5", O12:O37,"&lt;=0.74")</f>
        <v>0</v>
      </c>
    </row>
    <row r="62" spans="1:3" s="12" customFormat="1">
      <c r="A62" s="12" t="s">
        <v>165</v>
      </c>
      <c r="B62" s="12">
        <f>countifs(O12:O37,"&gt;=0.25", O12:O37,"&lt;=0.49")</f>
        <v>0</v>
      </c>
    </row>
    <row r="63" spans="1:3" s="12" customFormat="1">
      <c r="A63" s="12" t="s">
        <v>166</v>
      </c>
      <c r="B63" s="12">
        <f>countifs(O12:O37,"&gt;=0.0", O12:O37,"&lt;=0.24")</f>
        <v>0</v>
      </c>
    </row>
    <row r="64" spans="1:3" s="12" customFormat="1"/>
    <row r="65" spans="1:2" s="12" customFormat="1">
      <c r="A65" s="12" t="s">
        <v>160</v>
      </c>
      <c r="B65" s="12">
        <f>SUM(B59:B63)</f>
        <v>0</v>
      </c>
    </row>
  </sheetData>
  <sheetProtection password="E4E4" sheet="1" objects="1" scenarios="1"/>
  <mergeCells count="73">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5:G15"/>
    <mergeCell ref="H15:K15"/>
    <mergeCell ref="A16:G16"/>
    <mergeCell ref="H16:K16"/>
    <mergeCell ref="A17:G17"/>
    <mergeCell ref="H17:K17"/>
    <mergeCell ref="A18:G18"/>
    <mergeCell ref="H18:K18"/>
    <mergeCell ref="A19:G19"/>
    <mergeCell ref="H19:K19"/>
    <mergeCell ref="A20:G20"/>
    <mergeCell ref="H20:K20"/>
    <mergeCell ref="A22:G22"/>
    <mergeCell ref="H22:K22"/>
    <mergeCell ref="A23:G23"/>
    <mergeCell ref="H23:K23"/>
    <mergeCell ref="A24:G24"/>
    <mergeCell ref="H24:K24"/>
    <mergeCell ref="A26:G26"/>
    <mergeCell ref="H26:K26"/>
    <mergeCell ref="A27:G27"/>
    <mergeCell ref="H27:K27"/>
    <mergeCell ref="A28:G28"/>
    <mergeCell ref="H28:K28"/>
    <mergeCell ref="A30:G30"/>
    <mergeCell ref="H30:K30"/>
    <mergeCell ref="A31:G31"/>
    <mergeCell ref="H31:K31"/>
    <mergeCell ref="A32:G32"/>
    <mergeCell ref="H32:K32"/>
    <mergeCell ref="A33:G33"/>
    <mergeCell ref="H33:K33"/>
    <mergeCell ref="A35:G35"/>
    <mergeCell ref="H35:K35"/>
    <mergeCell ref="A36:G36"/>
    <mergeCell ref="H36:K36"/>
    <mergeCell ref="A37:G37"/>
    <mergeCell ref="H37:K37"/>
    <mergeCell ref="A40:G40"/>
    <mergeCell ref="H40:K40"/>
    <mergeCell ref="A42:G42"/>
    <mergeCell ref="H42:K42"/>
    <mergeCell ref="A44:G44"/>
    <mergeCell ref="H44:K44"/>
  </mergeCells>
  <dataValidations count="19">
    <dataValidation type="list" allowBlank="1" showInputMessage="1" showErrorMessage="1" sqref="H12">
      <formula1>"Yes,It Does Not Apply,Partially,I Have Done An Alternative Approach,No,No Answer"</formula1>
    </dataValidation>
    <dataValidation type="list" allowBlank="1" showInputMessage="1" showErrorMessage="1" sqref="H13">
      <formula1>"Completed,Partially Completed,Not Yet Started,No Answer"</formula1>
    </dataValidation>
    <dataValidation type="list" allowBlank="1" showInputMessage="1" showErrorMessage="1" sqref="H16">
      <formula1>"Yes,It Does Not Apply,Partially,I Have Done An Alternative Approach,No,No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"Yes,It Does Not Apply,Partially,I Have Done An Alternative Approach,No,No Answer"</formula1>
    </dataValidation>
    <dataValidation type="list" allowBlank="1" showInputMessage="1" showErrorMessage="1" sqref="H19">
      <formula1>"Yes,It Does Not Apply,Partially,I Have Done An Alternative Approach,No,No Answer"</formula1>
    </dataValidation>
    <dataValidation type="list" allowBlank="1" showInputMessage="1" showErrorMessage="1" sqref="H20">
      <formula1>"Completed,Partially Completed,Not Yet Started,No Answer"</formula1>
    </dataValidation>
    <dataValidation type="list" allowBlank="1" showInputMessage="1" showErrorMessage="1" sqref="H23">
      <formula1>"Yes,It Does Not Apply,Partially,I Have Done An Alternative Approach,No,No Answer"</formula1>
    </dataValidation>
    <dataValidation type="list" allowBlank="1" showInputMessage="1" showErrorMessage="1" sqref="H24">
      <formula1>"Completed,Partially Completed,Not Yet Started,No Answer"</formula1>
    </dataValidation>
    <dataValidation type="list" allowBlank="1" showInputMessage="1" showErrorMessage="1" sqref="H27">
      <formula1>"Yes,It Does Not Apply,Partially,I Have Done An Alternative Approach,No,No Answer"</formula1>
    </dataValidation>
    <dataValidation type="list" allowBlank="1" showInputMessage="1" showErrorMessage="1" sqref="H28">
      <formula1>"Completed,Partially Completed,Not Yet Started,No Answer"</formula1>
    </dataValidation>
    <dataValidation type="list" allowBlank="1" showInputMessage="1" showErrorMessage="1" sqref="H31">
      <formula1>"Yes,It Does Not Apply,Partially,I Have Done An Alternative Approach,No,No Answer"</formula1>
    </dataValidation>
    <dataValidation type="list" allowBlank="1" showInputMessage="1" showErrorMessage="1" sqref="H32">
      <formula1>"Yes,It Does Not Apply,Partially,I Have Done An Alternative Approach,No,No Answer"</formula1>
    </dataValidation>
    <dataValidation type="list" allowBlank="1" showInputMessage="1" showErrorMessage="1" sqref="H33">
      <formula1>"Completed,Partially Completed,Not Yet Started,No Answer"</formula1>
    </dataValidation>
    <dataValidation type="list" allowBlank="1" showInputMessage="1" showErrorMessage="1" sqref="H36">
      <formula1>"Yes,It Does Not Apply,Partially,I Have Done An Alternative Approach,No,No Answer"</formula1>
    </dataValidation>
    <dataValidation type="list" allowBlank="1" showInputMessage="1" showErrorMessage="1" sqref="H37">
      <formula1>"Completed,Partially Completed,Not Yet Started,No Answer"</formula1>
    </dataValidation>
    <dataValidation type="list" allowBlank="1" showInputMessage="1" showErrorMessage="1" sqref="H40">
      <formula1>"Completed,Partially Completed,Not Yet Started,No Answer"</formula1>
    </dataValidation>
    <dataValidation type="list" allowBlank="1" showInputMessage="1" showErrorMessage="1" sqref="H42">
      <formula1>"Completed,Partially Completed,Not Yet Started,No Answer"</formula1>
    </dataValidation>
    <dataValidation type="list" allowBlank="1" showInputMessage="1" showErrorMessage="1" sqref="H44">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15" r:id="rId2"/>
    <hyperlink ref="A22" r:id="rId3"/>
    <hyperlink ref="A26" r:id="rId4"/>
    <hyperlink ref="A30" r:id="rId5"/>
    <hyperlink ref="A35" r:id="rId6"/>
  </hyperlinks>
  <pageMargins left="0.7" right="0.7" top="0.75" bottom="0.75" header="0.3" footer="0.3"/>
  <drawing r:id="rId7"/>
</worksheet>
</file>

<file path=xl/worksheets/sheet9.xml><?xml version="1.0" encoding="utf-8"?>
<worksheet xmlns="http://schemas.openxmlformats.org/spreadsheetml/2006/main" xmlns:r="http://schemas.openxmlformats.org/officeDocument/2006/relationships">
  <dimension ref="A1:P79"/>
  <sheetViews>
    <sheetView showGridLines="0" workbookViewId="0"/>
  </sheetViews>
  <sheetFormatPr defaultRowHeight="15"/>
  <cols>
    <col min="12" max="12" width="3.7109375" customWidth="1"/>
    <col min="13" max="13" width="61.7109375" customWidth="1"/>
    <col min="14" max="16" width="9.140625" style="12"/>
  </cols>
  <sheetData>
    <row r="1" spans="1:16">
      <c r="A1" s="13" t="s">
        <v>344</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345</v>
      </c>
      <c r="B11" s="21"/>
      <c r="C11" s="21"/>
      <c r="D11" s="21"/>
      <c r="E11" s="21"/>
      <c r="F11" s="21"/>
      <c r="G11" s="21"/>
      <c r="H11" s="20" t="s">
        <v>58</v>
      </c>
      <c r="I11" s="20"/>
      <c r="J11" s="20"/>
      <c r="K11" s="20"/>
      <c r="M11" s="22" t="s">
        <v>59</v>
      </c>
    </row>
    <row r="12" spans="1:16" ht="48" customHeight="1">
      <c r="A12" s="23" t="s">
        <v>346</v>
      </c>
      <c r="B12" s="23"/>
      <c r="C12" s="23"/>
      <c r="D12" s="23"/>
      <c r="E12" s="23"/>
      <c r="F12" s="23"/>
      <c r="G12" s="23"/>
      <c r="H12" s="24" t="s">
        <v>51</v>
      </c>
      <c r="I12" s="24"/>
      <c r="J12" s="24"/>
      <c r="K12" s="24"/>
      <c r="M12" s="22" t="s">
        <v>61</v>
      </c>
      <c r="N12" s="12">
        <f>vlookup(H12,data_summary_by_question!U2:V7,2, FALSE)</f>
        <v>0</v>
      </c>
      <c r="O12" s="12">
        <f>average(N12:N13)</f>
        <v>0</v>
      </c>
      <c r="P12" s="12">
        <f>H12</f>
        <v>0</v>
      </c>
    </row>
    <row r="13" spans="1:16" ht="48" customHeight="1">
      <c r="A13" s="23" t="s">
        <v>347</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5" t="s">
        <v>67</v>
      </c>
      <c r="B14" s="25"/>
      <c r="C14" s="25"/>
      <c r="D14" s="25"/>
      <c r="E14" s="25"/>
      <c r="F14" s="25"/>
      <c r="G14" s="25"/>
      <c r="H14" s="26" t="s">
        <v>51</v>
      </c>
      <c r="I14" s="26"/>
      <c r="J14" s="26"/>
      <c r="K14" s="26"/>
      <c r="M14" s="26" t="s">
        <v>68</v>
      </c>
    </row>
    <row r="16" spans="1:16" ht="48" customHeight="1">
      <c r="A16" s="21" t="s">
        <v>348</v>
      </c>
      <c r="B16" s="21"/>
      <c r="C16" s="21"/>
      <c r="D16" s="21"/>
      <c r="E16" s="21"/>
      <c r="F16" s="21"/>
      <c r="G16" s="21"/>
      <c r="H16" s="20" t="s">
        <v>58</v>
      </c>
      <c r="I16" s="20"/>
      <c r="J16" s="20"/>
      <c r="K16" s="20"/>
      <c r="M16" s="22" t="s">
        <v>59</v>
      </c>
    </row>
    <row r="17" spans="1:16" ht="48" customHeight="1">
      <c r="A17" s="23" t="s">
        <v>349</v>
      </c>
      <c r="B17" s="23"/>
      <c r="C17" s="23"/>
      <c r="D17" s="23"/>
      <c r="E17" s="23"/>
      <c r="F17" s="23"/>
      <c r="G17" s="23"/>
      <c r="H17" s="24" t="s">
        <v>51</v>
      </c>
      <c r="I17" s="24"/>
      <c r="J17" s="24"/>
      <c r="K17" s="24"/>
      <c r="M17" s="22" t="s">
        <v>61</v>
      </c>
      <c r="N17" s="12">
        <f>vlookup(H17,data_summary_by_question!U2:V7,2, FALSE)</f>
        <v>0</v>
      </c>
      <c r="O17" s="12">
        <f>average(N17:N20)</f>
        <v>0</v>
      </c>
      <c r="P17" s="12">
        <f>H17</f>
        <v>0</v>
      </c>
    </row>
    <row r="18" spans="1:16" ht="48" customHeight="1">
      <c r="A18" s="23" t="s">
        <v>350</v>
      </c>
      <c r="B18" s="23"/>
      <c r="C18" s="23"/>
      <c r="D18" s="23"/>
      <c r="E18" s="23"/>
      <c r="F18" s="23"/>
      <c r="G18" s="23"/>
      <c r="H18" s="24" t="s">
        <v>51</v>
      </c>
      <c r="I18" s="24"/>
      <c r="J18" s="24"/>
      <c r="K18" s="24"/>
      <c r="M18" s="22" t="s">
        <v>61</v>
      </c>
      <c r="N18" s="12">
        <f>vlookup(H18,data_summary_by_question!U2:V7,2, FALSE)</f>
        <v>0</v>
      </c>
      <c r="P18" s="12">
        <f>H18</f>
        <v>0</v>
      </c>
    </row>
    <row r="19" spans="1:16" ht="48" customHeight="1">
      <c r="A19" s="23" t="s">
        <v>351</v>
      </c>
      <c r="B19" s="23"/>
      <c r="C19" s="23"/>
      <c r="D19" s="23"/>
      <c r="E19" s="23"/>
      <c r="F19" s="23"/>
      <c r="G19" s="23"/>
      <c r="H19" s="24" t="s">
        <v>51</v>
      </c>
      <c r="I19" s="24"/>
      <c r="J19" s="24"/>
      <c r="K19" s="24"/>
      <c r="M19" s="22" t="s">
        <v>61</v>
      </c>
      <c r="N19" s="12">
        <f>vlookup(H19,data_summary_by_question!U2:V7,2, FALSE)</f>
        <v>0</v>
      </c>
      <c r="P19" s="12">
        <f>H19</f>
        <v>0</v>
      </c>
    </row>
    <row r="20" spans="1:16" ht="48" customHeight="1">
      <c r="A20" s="23" t="s">
        <v>352</v>
      </c>
      <c r="B20" s="23"/>
      <c r="C20" s="23"/>
      <c r="D20" s="23"/>
      <c r="E20" s="23"/>
      <c r="F20" s="23"/>
      <c r="G20" s="23"/>
      <c r="H20" s="24" t="s">
        <v>51</v>
      </c>
      <c r="I20" s="24"/>
      <c r="J20" s="24"/>
      <c r="K20" s="24"/>
      <c r="M20" s="22" t="s">
        <v>61</v>
      </c>
      <c r="N20" s="12">
        <f>vlookup(H20,data_summary_by_question!U2:V7,2, FALSE)</f>
        <v>0</v>
      </c>
      <c r="P20" s="12">
        <f>H20</f>
        <v>0</v>
      </c>
    </row>
    <row r="21" spans="1:16" ht="48" customHeight="1">
      <c r="A21" s="25" t="s">
        <v>67</v>
      </c>
      <c r="B21" s="25"/>
      <c r="C21" s="25"/>
      <c r="D21" s="25"/>
      <c r="E21" s="25"/>
      <c r="F21" s="25"/>
      <c r="G21" s="25"/>
      <c r="H21" s="26" t="s">
        <v>51</v>
      </c>
      <c r="I21" s="26"/>
      <c r="J21" s="26"/>
      <c r="K21" s="26"/>
      <c r="M21" s="26" t="s">
        <v>68</v>
      </c>
    </row>
    <row r="23" spans="1:16" ht="48" customHeight="1">
      <c r="A23" s="21" t="s">
        <v>353</v>
      </c>
      <c r="B23" s="21"/>
      <c r="C23" s="21"/>
      <c r="D23" s="21"/>
      <c r="E23" s="21"/>
      <c r="F23" s="21"/>
      <c r="G23" s="21"/>
      <c r="H23" s="20" t="s">
        <v>58</v>
      </c>
      <c r="I23" s="20"/>
      <c r="J23" s="20"/>
      <c r="K23" s="20"/>
      <c r="M23" s="22" t="s">
        <v>59</v>
      </c>
    </row>
    <row r="24" spans="1:16" ht="48" customHeight="1">
      <c r="A24" s="23" t="s">
        <v>354</v>
      </c>
      <c r="B24" s="23"/>
      <c r="C24" s="23"/>
      <c r="D24" s="23"/>
      <c r="E24" s="23"/>
      <c r="F24" s="23"/>
      <c r="G24" s="23"/>
      <c r="H24" s="24" t="s">
        <v>51</v>
      </c>
      <c r="I24" s="24"/>
      <c r="J24" s="24"/>
      <c r="K24" s="24"/>
      <c r="M24" s="22" t="s">
        <v>61</v>
      </c>
      <c r="N24" s="12">
        <f>vlookup(H24,data_summary_by_question!U2:V7,2, FALSE)</f>
        <v>0</v>
      </c>
      <c r="O24" s="12">
        <f>average(N24:N24)</f>
        <v>0</v>
      </c>
      <c r="P24" s="12">
        <f>H24</f>
        <v>0</v>
      </c>
    </row>
    <row r="25" spans="1:16" ht="48" customHeight="1">
      <c r="A25" s="25" t="s">
        <v>67</v>
      </c>
      <c r="B25" s="25"/>
      <c r="C25" s="25"/>
      <c r="D25" s="25"/>
      <c r="E25" s="25"/>
      <c r="F25" s="25"/>
      <c r="G25" s="25"/>
      <c r="H25" s="26" t="s">
        <v>51</v>
      </c>
      <c r="I25" s="26"/>
      <c r="J25" s="26"/>
      <c r="K25" s="26"/>
      <c r="M25" s="26" t="s">
        <v>68</v>
      </c>
    </row>
    <row r="27" spans="1:16" ht="48" customHeight="1">
      <c r="A27" s="21" t="s">
        <v>355</v>
      </c>
      <c r="B27" s="21"/>
      <c r="C27" s="21"/>
      <c r="D27" s="21"/>
      <c r="E27" s="21"/>
      <c r="F27" s="21"/>
      <c r="G27" s="21"/>
      <c r="H27" s="20" t="s">
        <v>58</v>
      </c>
      <c r="I27" s="20"/>
      <c r="J27" s="20"/>
      <c r="K27" s="20"/>
      <c r="M27" s="22" t="s">
        <v>59</v>
      </c>
    </row>
    <row r="28" spans="1:16" ht="48" customHeight="1">
      <c r="A28" s="23" t="s">
        <v>356</v>
      </c>
      <c r="B28" s="23"/>
      <c r="C28" s="23"/>
      <c r="D28" s="23"/>
      <c r="E28" s="23"/>
      <c r="F28" s="23"/>
      <c r="G28" s="23"/>
      <c r="H28" s="24" t="s">
        <v>51</v>
      </c>
      <c r="I28" s="24"/>
      <c r="J28" s="24"/>
      <c r="K28" s="24"/>
      <c r="M28" s="22" t="s">
        <v>61</v>
      </c>
      <c r="N28" s="12">
        <f>vlookup(H28,data_summary_by_question!U2:V7,2, FALSE)</f>
        <v>0</v>
      </c>
      <c r="O28" s="12">
        <f>average(N28:N29)</f>
        <v>0</v>
      </c>
      <c r="P28" s="12">
        <f>H28</f>
        <v>0</v>
      </c>
    </row>
    <row r="29" spans="1:16" ht="48" customHeight="1">
      <c r="A29" s="23" t="s">
        <v>357</v>
      </c>
      <c r="B29" s="23"/>
      <c r="C29" s="23"/>
      <c r="D29" s="23"/>
      <c r="E29" s="23"/>
      <c r="F29" s="23"/>
      <c r="G29" s="23"/>
      <c r="H29" s="24" t="s">
        <v>51</v>
      </c>
      <c r="I29" s="24"/>
      <c r="J29" s="24"/>
      <c r="K29" s="24"/>
      <c r="M29" s="22" t="s">
        <v>61</v>
      </c>
      <c r="N29" s="12">
        <f>vlookup(H29,data_summary_by_question!U2:V7,2, FALSE)</f>
        <v>0</v>
      </c>
      <c r="P29" s="12">
        <f>H29</f>
        <v>0</v>
      </c>
    </row>
    <row r="30" spans="1:16" ht="48" customHeight="1">
      <c r="A30" s="25" t="s">
        <v>67</v>
      </c>
      <c r="B30" s="25"/>
      <c r="C30" s="25"/>
      <c r="D30" s="25"/>
      <c r="E30" s="25"/>
      <c r="F30" s="25"/>
      <c r="G30" s="25"/>
      <c r="H30" s="26" t="s">
        <v>51</v>
      </c>
      <c r="I30" s="26"/>
      <c r="J30" s="26"/>
      <c r="K30" s="26"/>
      <c r="M30" s="26" t="s">
        <v>68</v>
      </c>
    </row>
    <row r="32" spans="1:16" ht="48" customHeight="1">
      <c r="A32" s="21" t="s">
        <v>358</v>
      </c>
      <c r="B32" s="21"/>
      <c r="C32" s="21"/>
      <c r="D32" s="21"/>
      <c r="E32" s="21"/>
      <c r="F32" s="21"/>
      <c r="G32" s="21"/>
      <c r="H32" s="20" t="s">
        <v>58</v>
      </c>
      <c r="I32" s="20"/>
      <c r="J32" s="20"/>
      <c r="K32" s="20"/>
      <c r="M32" s="22" t="s">
        <v>59</v>
      </c>
    </row>
    <row r="33" spans="1:16" ht="48" customHeight="1">
      <c r="A33" s="23" t="s">
        <v>359</v>
      </c>
      <c r="B33" s="23"/>
      <c r="C33" s="23"/>
      <c r="D33" s="23"/>
      <c r="E33" s="23"/>
      <c r="F33" s="23"/>
      <c r="G33" s="23"/>
      <c r="H33" s="24" t="s">
        <v>51</v>
      </c>
      <c r="I33" s="24"/>
      <c r="J33" s="24"/>
      <c r="K33" s="24"/>
      <c r="M33" s="22" t="s">
        <v>61</v>
      </c>
      <c r="N33" s="12">
        <f>vlookup(H33,data_summary_by_question!U2:V7,2, FALSE)</f>
        <v>0</v>
      </c>
      <c r="O33" s="12">
        <f>average(N33:N34)</f>
        <v>0</v>
      </c>
      <c r="P33" s="12">
        <f>H33</f>
        <v>0</v>
      </c>
    </row>
    <row r="34" spans="1:16" ht="48" customHeight="1">
      <c r="A34" s="23" t="s">
        <v>360</v>
      </c>
      <c r="B34" s="23"/>
      <c r="C34" s="23"/>
      <c r="D34" s="23"/>
      <c r="E34" s="23"/>
      <c r="F34" s="23"/>
      <c r="G34" s="23"/>
      <c r="H34" s="24" t="s">
        <v>51</v>
      </c>
      <c r="I34" s="24"/>
      <c r="J34" s="24"/>
      <c r="K34" s="24"/>
      <c r="M34" s="22" t="s">
        <v>61</v>
      </c>
      <c r="N34" s="12">
        <f>vlookup(H34,data_summary_by_question!U2:V7,2, FALSE)</f>
        <v>0</v>
      </c>
      <c r="P34" s="12">
        <f>H34</f>
        <v>0</v>
      </c>
    </row>
    <row r="35" spans="1:16" ht="48" customHeight="1">
      <c r="A35" s="25" t="s">
        <v>67</v>
      </c>
      <c r="B35" s="25"/>
      <c r="C35" s="25"/>
      <c r="D35" s="25"/>
      <c r="E35" s="25"/>
      <c r="F35" s="25"/>
      <c r="G35" s="25"/>
      <c r="H35" s="26" t="s">
        <v>51</v>
      </c>
      <c r="I35" s="26"/>
      <c r="J35" s="26"/>
      <c r="K35" s="26"/>
      <c r="M35" s="26" t="s">
        <v>68</v>
      </c>
    </row>
    <row r="37" spans="1:16" ht="48" customHeight="1">
      <c r="A37" s="21" t="s">
        <v>361</v>
      </c>
      <c r="B37" s="21"/>
      <c r="C37" s="21"/>
      <c r="D37" s="21"/>
      <c r="E37" s="21"/>
      <c r="F37" s="21"/>
      <c r="G37" s="21"/>
      <c r="H37" s="20" t="s">
        <v>58</v>
      </c>
      <c r="I37" s="20"/>
      <c r="J37" s="20"/>
      <c r="K37" s="20"/>
      <c r="M37" s="22" t="s">
        <v>59</v>
      </c>
    </row>
    <row r="38" spans="1:16" ht="48" customHeight="1">
      <c r="A38" s="23" t="s">
        <v>362</v>
      </c>
      <c r="B38" s="23"/>
      <c r="C38" s="23"/>
      <c r="D38" s="23"/>
      <c r="E38" s="23"/>
      <c r="F38" s="23"/>
      <c r="G38" s="23"/>
      <c r="H38" s="24" t="s">
        <v>51</v>
      </c>
      <c r="I38" s="24"/>
      <c r="J38" s="24"/>
      <c r="K38" s="24"/>
      <c r="M38" s="22" t="s">
        <v>61</v>
      </c>
      <c r="N38" s="12">
        <f>vlookup(H38,data_summary_by_question!U2:V7,2, FALSE)</f>
        <v>0</v>
      </c>
      <c r="O38" s="12">
        <f>average(N38:N38)</f>
        <v>0</v>
      </c>
      <c r="P38" s="12">
        <f>H38</f>
        <v>0</v>
      </c>
    </row>
    <row r="39" spans="1:16" ht="48" customHeight="1">
      <c r="A39" s="25" t="s">
        <v>67</v>
      </c>
      <c r="B39" s="25"/>
      <c r="C39" s="25"/>
      <c r="D39" s="25"/>
      <c r="E39" s="25"/>
      <c r="F39" s="25"/>
      <c r="G39" s="25"/>
      <c r="H39" s="26" t="s">
        <v>51</v>
      </c>
      <c r="I39" s="26"/>
      <c r="J39" s="26"/>
      <c r="K39" s="26"/>
      <c r="M39" s="26" t="s">
        <v>68</v>
      </c>
    </row>
    <row r="41" spans="1:16" ht="48" customHeight="1">
      <c r="A41" s="21" t="s">
        <v>363</v>
      </c>
      <c r="B41" s="21"/>
      <c r="C41" s="21"/>
      <c r="D41" s="21"/>
      <c r="E41" s="21"/>
      <c r="F41" s="21"/>
      <c r="G41" s="21"/>
      <c r="H41" s="20" t="s">
        <v>58</v>
      </c>
      <c r="I41" s="20"/>
      <c r="J41" s="20"/>
      <c r="K41" s="20"/>
      <c r="M41" s="22" t="s">
        <v>59</v>
      </c>
    </row>
    <row r="42" spans="1:16" ht="48" customHeight="1">
      <c r="A42" s="23" t="s">
        <v>364</v>
      </c>
      <c r="B42" s="23"/>
      <c r="C42" s="23"/>
      <c r="D42" s="23"/>
      <c r="E42" s="23"/>
      <c r="F42" s="23"/>
      <c r="G42" s="23"/>
      <c r="H42" s="24" t="s">
        <v>51</v>
      </c>
      <c r="I42" s="24"/>
      <c r="J42" s="24"/>
      <c r="K42" s="24"/>
      <c r="M42" s="22" t="s">
        <v>61</v>
      </c>
      <c r="N42" s="12">
        <f>vlookup(H42,data_summary_by_question!U2:V7,2, FALSE)</f>
        <v>0</v>
      </c>
      <c r="O42" s="12">
        <f>average(N42:N42)</f>
        <v>0</v>
      </c>
      <c r="P42" s="12">
        <f>H42</f>
        <v>0</v>
      </c>
    </row>
    <row r="43" spans="1:16" ht="48" customHeight="1">
      <c r="A43" s="25" t="s">
        <v>67</v>
      </c>
      <c r="B43" s="25"/>
      <c r="C43" s="25"/>
      <c r="D43" s="25"/>
      <c r="E43" s="25"/>
      <c r="F43" s="25"/>
      <c r="G43" s="25"/>
      <c r="H43" s="26" t="s">
        <v>51</v>
      </c>
      <c r="I43" s="26"/>
      <c r="J43" s="26"/>
      <c r="K43" s="26"/>
      <c r="M43" s="26" t="s">
        <v>68</v>
      </c>
    </row>
    <row r="45" spans="1:16" ht="48" customHeight="1">
      <c r="A45" s="21" t="s">
        <v>365</v>
      </c>
      <c r="B45" s="21"/>
      <c r="C45" s="21"/>
      <c r="D45" s="21"/>
      <c r="E45" s="21"/>
      <c r="F45" s="21"/>
      <c r="G45" s="21"/>
      <c r="H45" s="20" t="s">
        <v>58</v>
      </c>
      <c r="I45" s="20"/>
      <c r="J45" s="20"/>
      <c r="K45" s="20"/>
      <c r="M45" s="22" t="s">
        <v>59</v>
      </c>
    </row>
    <row r="46" spans="1:16" ht="48" customHeight="1">
      <c r="A46" s="23" t="s">
        <v>366</v>
      </c>
      <c r="B46" s="23"/>
      <c r="C46" s="23"/>
      <c r="D46" s="23"/>
      <c r="E46" s="23"/>
      <c r="F46" s="23"/>
      <c r="G46" s="23"/>
      <c r="H46" s="24" t="s">
        <v>51</v>
      </c>
      <c r="I46" s="24"/>
      <c r="J46" s="24"/>
      <c r="K46" s="24"/>
      <c r="M46" s="22" t="s">
        <v>61</v>
      </c>
      <c r="N46" s="12">
        <f>vlookup(H46,data_summary_by_question!U2:V7,2, FALSE)</f>
        <v>0</v>
      </c>
      <c r="O46" s="12">
        <f>average(N46:N46)</f>
        <v>0</v>
      </c>
      <c r="P46" s="12">
        <f>H46</f>
        <v>0</v>
      </c>
    </row>
    <row r="47" spans="1:16" ht="48" customHeight="1">
      <c r="A47" s="25" t="s">
        <v>67</v>
      </c>
      <c r="B47" s="25"/>
      <c r="C47" s="25"/>
      <c r="D47" s="25"/>
      <c r="E47" s="25"/>
      <c r="F47" s="25"/>
      <c r="G47" s="25"/>
      <c r="H47" s="26" t="s">
        <v>51</v>
      </c>
      <c r="I47" s="26"/>
      <c r="J47" s="26"/>
      <c r="K47" s="26"/>
      <c r="M47" s="26" t="s">
        <v>68</v>
      </c>
    </row>
    <row r="49" spans="1:16" ht="48" customHeight="1">
      <c r="A49" s="21" t="s">
        <v>367</v>
      </c>
      <c r="B49" s="21"/>
      <c r="C49" s="21"/>
      <c r="D49" s="21"/>
      <c r="E49" s="21"/>
      <c r="F49" s="21"/>
      <c r="G49" s="21"/>
      <c r="H49" s="20" t="s">
        <v>58</v>
      </c>
      <c r="I49" s="20"/>
      <c r="J49" s="20"/>
      <c r="K49" s="20"/>
      <c r="M49" s="22" t="s">
        <v>59</v>
      </c>
    </row>
    <row r="50" spans="1:16" ht="48" customHeight="1">
      <c r="A50" s="23" t="s">
        <v>368</v>
      </c>
      <c r="B50" s="23"/>
      <c r="C50" s="23"/>
      <c r="D50" s="23"/>
      <c r="E50" s="23"/>
      <c r="F50" s="23"/>
      <c r="G50" s="23"/>
      <c r="H50" s="24" t="s">
        <v>51</v>
      </c>
      <c r="I50" s="24"/>
      <c r="J50" s="24"/>
      <c r="K50" s="24"/>
      <c r="M50" s="22" t="s">
        <v>61</v>
      </c>
      <c r="N50" s="12">
        <f>vlookup(H50,data_summary_by_question!U2:V7,2, FALSE)</f>
        <v>0</v>
      </c>
      <c r="O50" s="12">
        <f>average(N50:N50)</f>
        <v>0</v>
      </c>
      <c r="P50" s="12">
        <f>H50</f>
        <v>0</v>
      </c>
    </row>
    <row r="51" spans="1:16" ht="48" customHeight="1">
      <c r="A51" s="25" t="s">
        <v>67</v>
      </c>
      <c r="B51" s="25"/>
      <c r="C51" s="25"/>
      <c r="D51" s="25"/>
      <c r="E51" s="25"/>
      <c r="F51" s="25"/>
      <c r="G51" s="25"/>
      <c r="H51" s="26" t="s">
        <v>51</v>
      </c>
      <c r="I51" s="26"/>
      <c r="J51" s="26"/>
      <c r="K51" s="26"/>
      <c r="M51" s="26" t="s">
        <v>68</v>
      </c>
    </row>
    <row r="54" spans="1:16" ht="48" customHeight="1">
      <c r="A54" s="25" t="s">
        <v>154</v>
      </c>
      <c r="B54" s="25"/>
      <c r="C54" s="25"/>
      <c r="D54" s="25"/>
      <c r="E54" s="25"/>
      <c r="F54" s="25"/>
      <c r="G54" s="25"/>
      <c r="H54" s="26" t="s">
        <v>51</v>
      </c>
      <c r="I54" s="26"/>
      <c r="J54" s="26"/>
      <c r="K54" s="26"/>
      <c r="M54" s="26" t="s">
        <v>61</v>
      </c>
    </row>
    <row r="56" spans="1:16" ht="48" customHeight="1">
      <c r="A56" s="25" t="s">
        <v>155</v>
      </c>
      <c r="B56" s="25"/>
      <c r="C56" s="25"/>
      <c r="D56" s="25"/>
      <c r="E56" s="25"/>
      <c r="F56" s="25"/>
      <c r="G56" s="25"/>
      <c r="H56" s="26" t="s">
        <v>51</v>
      </c>
      <c r="I56" s="26"/>
      <c r="J56" s="26"/>
      <c r="K56" s="26"/>
      <c r="M56" s="26" t="s">
        <v>61</v>
      </c>
    </row>
    <row r="58" spans="1:16" ht="48" customHeight="1">
      <c r="A58" s="25" t="s">
        <v>156</v>
      </c>
      <c r="B58" s="25"/>
      <c r="C58" s="25"/>
      <c r="D58" s="25"/>
      <c r="E58" s="25"/>
      <c r="F58" s="25"/>
      <c r="G58" s="25"/>
      <c r="H58" s="26" t="s">
        <v>51</v>
      </c>
      <c r="I58" s="26"/>
      <c r="J58" s="26"/>
      <c r="K58" s="26"/>
      <c r="M58" s="26" t="s">
        <v>61</v>
      </c>
    </row>
    <row r="62" spans="1:16" s="12" customFormat="1">
      <c r="A62" s="12" t="s">
        <v>157</v>
      </c>
      <c r="B62" s="12" t="s">
        <v>158</v>
      </c>
      <c r="C62" s="12" t="s">
        <v>159</v>
      </c>
    </row>
    <row r="63" spans="1:16" s="12" customFormat="1">
      <c r="A63" s="12" t="s">
        <v>46</v>
      </c>
      <c r="B63" s="12">
        <f>COUNTIF(P12:P51,A63)</f>
        <v>0</v>
      </c>
      <c r="C63" s="12">
        <f>B63/ B70</f>
        <v>0</v>
      </c>
    </row>
    <row r="64" spans="1:16" s="12" customFormat="1">
      <c r="A64" s="12" t="s">
        <v>47</v>
      </c>
      <c r="B64" s="12">
        <f>COUNTIF(P12:P51,A64)</f>
        <v>0</v>
      </c>
      <c r="C64" s="12">
        <f>B64/ B70</f>
        <v>0</v>
      </c>
    </row>
    <row r="65" spans="1:3" s="12" customFormat="1">
      <c r="A65" s="12" t="s">
        <v>48</v>
      </c>
      <c r="B65" s="12">
        <f>COUNTIF(P12:P51,A65)</f>
        <v>0</v>
      </c>
      <c r="C65" s="12">
        <f>B65/ B70</f>
        <v>0</v>
      </c>
    </row>
    <row r="66" spans="1:3" s="12" customFormat="1">
      <c r="A66" s="12" t="s">
        <v>49</v>
      </c>
      <c r="B66" s="12">
        <f>COUNTIF(P12:P51,A66)</f>
        <v>0</v>
      </c>
      <c r="C66" s="12">
        <f>B66/ B70</f>
        <v>0</v>
      </c>
    </row>
    <row r="67" spans="1:3" s="12" customFormat="1">
      <c r="A67" s="12" t="s">
        <v>50</v>
      </c>
      <c r="B67" s="12">
        <f>COUNTIF(P12:P51,A67)</f>
        <v>0</v>
      </c>
      <c r="C67" s="12">
        <f>B67/ B70</f>
        <v>0</v>
      </c>
    </row>
    <row r="68" spans="1:3" s="12" customFormat="1">
      <c r="A68" s="12" t="s">
        <v>51</v>
      </c>
      <c r="B68" s="12">
        <f>COUNTIF(P12:P51,A68)</f>
        <v>0</v>
      </c>
      <c r="C68" s="12">
        <f>B68/ B70</f>
        <v>0</v>
      </c>
    </row>
    <row r="69" spans="1:3" s="12" customFormat="1"/>
    <row r="70" spans="1:3" s="12" customFormat="1">
      <c r="A70" s="12" t="s">
        <v>160</v>
      </c>
      <c r="B70" s="12">
        <f>SUM(B63:B68)</f>
        <v>0</v>
      </c>
    </row>
    <row r="71" spans="1:3" s="12" customFormat="1"/>
    <row r="72" spans="1:3" s="12" customFormat="1">
      <c r="A72" s="12" t="s">
        <v>161</v>
      </c>
    </row>
    <row r="73" spans="1:3" s="12" customFormat="1">
      <c r="A73" s="12" t="s">
        <v>162</v>
      </c>
      <c r="B73" s="12">
        <f>countifs(O12:O51,"&gt;=1.0", O12:O51,"&lt;=1.0")</f>
        <v>0</v>
      </c>
    </row>
    <row r="74" spans="1:3" s="12" customFormat="1">
      <c r="A74" s="12" t="s">
        <v>163</v>
      </c>
      <c r="B74" s="12">
        <f>countifs(O12:O51,"&gt;=0.75", O12:O51,"&lt;=0.99")</f>
        <v>0</v>
      </c>
    </row>
    <row r="75" spans="1:3" s="12" customFormat="1">
      <c r="A75" s="12" t="s">
        <v>164</v>
      </c>
      <c r="B75" s="12">
        <f>countifs(O12:O51,"&gt;=0.5", O12:O51,"&lt;=0.74")</f>
        <v>0</v>
      </c>
    </row>
    <row r="76" spans="1:3" s="12" customFormat="1">
      <c r="A76" s="12" t="s">
        <v>165</v>
      </c>
      <c r="B76" s="12">
        <f>countifs(O12:O51,"&gt;=0.25", O12:O51,"&lt;=0.49")</f>
        <v>0</v>
      </c>
    </row>
    <row r="77" spans="1:3" s="12" customFormat="1">
      <c r="A77" s="12" t="s">
        <v>166</v>
      </c>
      <c r="B77" s="12">
        <f>countifs(O12:O51,"&gt;=0.0", O12:O51,"&lt;=0.24")</f>
        <v>0</v>
      </c>
    </row>
    <row r="78" spans="1:3" s="12" customFormat="1"/>
    <row r="79" spans="1:3" s="12" customFormat="1">
      <c r="A79" s="12" t="s">
        <v>160</v>
      </c>
      <c r="B79" s="12">
        <f>SUM(B73:B77)</f>
        <v>0</v>
      </c>
    </row>
  </sheetData>
  <sheetProtection password="E4E4" sheet="1" objects="1" scenarios="1"/>
  <mergeCells count="95">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6:G16"/>
    <mergeCell ref="H16:K16"/>
    <mergeCell ref="A17:G17"/>
    <mergeCell ref="H17:K17"/>
    <mergeCell ref="A18:G18"/>
    <mergeCell ref="H18:K18"/>
    <mergeCell ref="A19:G19"/>
    <mergeCell ref="H19:K19"/>
    <mergeCell ref="A20:G20"/>
    <mergeCell ref="H20:K20"/>
    <mergeCell ref="A21:G21"/>
    <mergeCell ref="H21:K21"/>
    <mergeCell ref="A23:G23"/>
    <mergeCell ref="H23:K23"/>
    <mergeCell ref="A24:G24"/>
    <mergeCell ref="H24:K24"/>
    <mergeCell ref="A25:G25"/>
    <mergeCell ref="H25:K25"/>
    <mergeCell ref="A27:G27"/>
    <mergeCell ref="H27:K27"/>
    <mergeCell ref="A28:G28"/>
    <mergeCell ref="H28:K28"/>
    <mergeCell ref="A29:G29"/>
    <mergeCell ref="H29:K29"/>
    <mergeCell ref="A30:G30"/>
    <mergeCell ref="H30:K30"/>
    <mergeCell ref="A32:G32"/>
    <mergeCell ref="H32:K32"/>
    <mergeCell ref="A33:G33"/>
    <mergeCell ref="H33:K33"/>
    <mergeCell ref="A34:G34"/>
    <mergeCell ref="H34:K34"/>
    <mergeCell ref="A35:G35"/>
    <mergeCell ref="H35:K35"/>
    <mergeCell ref="A37:G37"/>
    <mergeCell ref="H37:K37"/>
    <mergeCell ref="A38:G38"/>
    <mergeCell ref="H38:K38"/>
    <mergeCell ref="A39:G39"/>
    <mergeCell ref="H39:K39"/>
    <mergeCell ref="A41:G41"/>
    <mergeCell ref="H41:K41"/>
    <mergeCell ref="A42:G42"/>
    <mergeCell ref="H42:K42"/>
    <mergeCell ref="A43:G43"/>
    <mergeCell ref="H43:K43"/>
    <mergeCell ref="A45:G45"/>
    <mergeCell ref="H45:K45"/>
    <mergeCell ref="A46:G46"/>
    <mergeCell ref="H46:K46"/>
    <mergeCell ref="A47:G47"/>
    <mergeCell ref="H47:K47"/>
    <mergeCell ref="A49:G49"/>
    <mergeCell ref="H49:K49"/>
    <mergeCell ref="A50:G50"/>
    <mergeCell ref="H50:K50"/>
    <mergeCell ref="A51:G51"/>
    <mergeCell ref="H51:K51"/>
    <mergeCell ref="A54:G54"/>
    <mergeCell ref="H54:K54"/>
    <mergeCell ref="A56:G56"/>
    <mergeCell ref="H56:K56"/>
    <mergeCell ref="A58:G58"/>
    <mergeCell ref="H58:K58"/>
  </mergeCells>
  <dataValidations count="27">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"Completed,Partially Completed,Not Yet Started,No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"Yes,It Does Not Apply,Partially,I Have Done An Alternative Approach,No,No Answer"</formula1>
    </dataValidation>
    <dataValidation type="list" allowBlank="1" showInputMessage="1" showErrorMessage="1" sqref="H19">
      <formula1>"Yes,It Does Not Apply,Partially,I Have Done An Alternative Approach,No,No Answer"</formula1>
    </dataValidation>
    <dataValidation type="list" allowBlank="1" showInputMessage="1" showErrorMessage="1" sqref="H20">
      <formula1>"Yes,It Does Not Apply,Partially,I Have Done An Alternative Approach,No,No Answer"</formula1>
    </dataValidation>
    <dataValidation type="list" allowBlank="1" showInputMessage="1" showErrorMessage="1" sqref="H21">
      <formula1>"Completed,Partially Completed,Not Yet Started,No Answer"</formula1>
    </dataValidation>
    <dataValidation type="list" allowBlank="1" showInputMessage="1" showErrorMessage="1" sqref="H24">
      <formula1>"Yes,It Does Not Apply,Partially,I Have Done An Alternative Approach,No,No Answer"</formula1>
    </dataValidation>
    <dataValidation type="list" allowBlank="1" showInputMessage="1" showErrorMessage="1" sqref="H25">
      <formula1>"Completed,Partially Completed,Not Yet Started,No Answer"</formula1>
    </dataValidation>
    <dataValidation type="list" allowBlank="1" showInputMessage="1" showErrorMessage="1" sqref="H28">
      <formula1>"Yes,It Does Not Apply,Partially,I Have Done An Alternative Approach,No,No Answer"</formula1>
    </dataValidation>
    <dataValidation type="list" allowBlank="1" showInputMessage="1" showErrorMessage="1" sqref="H29">
      <formula1>"Yes,It Does Not Apply,Partially,I Have Done An Alternative Approach,No,No Answer"</formula1>
    </dataValidation>
    <dataValidation type="list" allowBlank="1" showInputMessage="1" showErrorMessage="1" sqref="H30">
      <formula1>"Completed,Partially Completed,Not Yet Started,No Answer"</formula1>
    </dataValidation>
    <dataValidation type="list" allowBlank="1" showInputMessage="1" showErrorMessage="1" sqref="H33">
      <formula1>"Yes,It Does Not Apply,Partially,I Have Done An Alternative Approach,No,No Answer"</formula1>
    </dataValidation>
    <dataValidation type="list" allowBlank="1" showInputMessage="1" showErrorMessage="1" sqref="H34">
      <formula1>"Yes,It Does Not Apply,Partially,I Have Done An Alternative Approach,No,No Answer"</formula1>
    </dataValidation>
    <dataValidation type="list" allowBlank="1" showInputMessage="1" showErrorMessage="1" sqref="H35">
      <formula1>"Completed,Partially Completed,Not Yet Started,No Answer"</formula1>
    </dataValidation>
    <dataValidation type="list" allowBlank="1" showInputMessage="1" showErrorMessage="1" sqref="H38">
      <formula1>"Yes,It Does Not Apply,Partially,I Have Done An Alternative Approach,No,No Answer"</formula1>
    </dataValidation>
    <dataValidation type="list" allowBlank="1" showInputMessage="1" showErrorMessage="1" sqref="H39">
      <formula1>"Completed,Partially Completed,Not Yet Started,No Answer"</formula1>
    </dataValidation>
    <dataValidation type="list" allowBlank="1" showInputMessage="1" showErrorMessage="1" sqref="H42">
      <formula1>"Yes,It Does Not Apply,Partially,I Have Done An Alternative Approach,No,No Answer"</formula1>
    </dataValidation>
    <dataValidation type="list" allowBlank="1" showInputMessage="1" showErrorMessage="1" sqref="H43">
      <formula1>"Completed,Partially Completed,Not Yet Started,No Answer"</formula1>
    </dataValidation>
    <dataValidation type="list" allowBlank="1" showInputMessage="1" showErrorMessage="1" sqref="H46">
      <formula1>"Yes,It Does Not Apply,Partially,I Have Done An Alternative Approach,No,No Answer"</formula1>
    </dataValidation>
    <dataValidation type="list" allowBlank="1" showInputMessage="1" showErrorMessage="1" sqref="H47">
      <formula1>"Completed,Partially Completed,Not Yet Started,No Answer"</formula1>
    </dataValidation>
    <dataValidation type="list" allowBlank="1" showInputMessage="1" showErrorMessage="1" sqref="H50">
      <formula1>"Yes,It Does Not Apply,Partially,I Have Done An Alternative Approach,No,No Answer"</formula1>
    </dataValidation>
    <dataValidation type="list" allowBlank="1" showInputMessage="1" showErrorMessage="1" sqref="H51">
      <formula1>"Completed,Partially Completed,Not Yet Started,No Answer"</formula1>
    </dataValidation>
    <dataValidation type="list" allowBlank="1" showInputMessage="1" showErrorMessage="1" sqref="H54">
      <formula1>"Completed,Partially Completed,Not Yet Started,No Answer"</formula1>
    </dataValidation>
    <dataValidation type="list" allowBlank="1" showInputMessage="1" showErrorMessage="1" sqref="H56">
      <formula1>"Completed,Partially Completed,Not Yet Started,No Answer"</formula1>
    </dataValidation>
    <dataValidation type="list" allowBlank="1" showInputMessage="1" showErrorMessage="1" sqref="H58">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16" r:id="rId2"/>
    <hyperlink ref="A23" r:id="rId3"/>
    <hyperlink ref="A27" r:id="rId4"/>
    <hyperlink ref="A32" r:id="rId5"/>
    <hyperlink ref="A37" r:id="rId6"/>
    <hyperlink ref="A41" r:id="rId7"/>
    <hyperlink ref="A45" r:id="rId8"/>
    <hyperlink ref="A49" r:id="rId9"/>
  </hyperlinks>
  <pageMargins left="0.7" right="0.7" top="0.75" bottom="0.75" header="0.3" footer="0.3"/>
  <drawing r:id="rId10"/>
</worksheet>
</file>

<file path=xl/worksheets/sheet10.xml><?xml version="1.0" encoding="utf-8"?>
<worksheet xmlns="http://schemas.openxmlformats.org/spreadsheetml/2006/main" xmlns:r="http://schemas.openxmlformats.org/officeDocument/2006/relationships">
  <dimension ref="A1:P47"/>
  <sheetViews>
    <sheetView showGridLines="0" workbookViewId="0"/>
  </sheetViews>
  <sheetFormatPr defaultRowHeight="15"/>
  <cols>
    <col min="12" max="12" width="3.7109375" customWidth="1"/>
    <col min="13" max="13" width="61.7109375" customWidth="1"/>
    <col min="14" max="16" width="9.140625" style="12"/>
  </cols>
  <sheetData>
    <row r="1" spans="1:16">
      <c r="A1" s="13" t="s">
        <v>369</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370</v>
      </c>
      <c r="B11" s="21"/>
      <c r="C11" s="21"/>
      <c r="D11" s="21"/>
      <c r="E11" s="21"/>
      <c r="F11" s="21"/>
      <c r="G11" s="21"/>
      <c r="H11" s="20" t="s">
        <v>58</v>
      </c>
      <c r="I11" s="20"/>
      <c r="J11" s="20"/>
      <c r="K11" s="20"/>
      <c r="M11" s="22" t="s">
        <v>59</v>
      </c>
    </row>
    <row r="12" spans="1:16" ht="48" customHeight="1">
      <c r="A12" s="23" t="s">
        <v>371</v>
      </c>
      <c r="B12" s="23"/>
      <c r="C12" s="23"/>
      <c r="D12" s="23"/>
      <c r="E12" s="23"/>
      <c r="F12" s="23"/>
      <c r="G12" s="23"/>
      <c r="H12" s="24" t="s">
        <v>51</v>
      </c>
      <c r="I12" s="24"/>
      <c r="J12" s="24"/>
      <c r="K12" s="24"/>
      <c r="M12" s="22" t="s">
        <v>61</v>
      </c>
      <c r="N12" s="12">
        <f>vlookup(H12,data_summary_by_question!U2:V7,2, FALSE)</f>
        <v>0</v>
      </c>
      <c r="O12" s="12">
        <f>average(N12:N12)</f>
        <v>0</v>
      </c>
      <c r="P12" s="12">
        <f>H12</f>
        <v>0</v>
      </c>
    </row>
    <row r="13" spans="1:16" ht="48" customHeight="1">
      <c r="A13" s="25" t="s">
        <v>67</v>
      </c>
      <c r="B13" s="25"/>
      <c r="C13" s="25"/>
      <c r="D13" s="25"/>
      <c r="E13" s="25"/>
      <c r="F13" s="25"/>
      <c r="G13" s="25"/>
      <c r="H13" s="26" t="s">
        <v>51</v>
      </c>
      <c r="I13" s="26"/>
      <c r="J13" s="26"/>
      <c r="K13" s="26"/>
      <c r="M13" s="26" t="s">
        <v>68</v>
      </c>
    </row>
    <row r="15" spans="1:16" ht="48" customHeight="1">
      <c r="A15" s="21" t="s">
        <v>372</v>
      </c>
      <c r="B15" s="21"/>
      <c r="C15" s="21"/>
      <c r="D15" s="21"/>
      <c r="E15" s="21"/>
      <c r="F15" s="21"/>
      <c r="G15" s="21"/>
      <c r="H15" s="20" t="s">
        <v>58</v>
      </c>
      <c r="I15" s="20"/>
      <c r="J15" s="20"/>
      <c r="K15" s="20"/>
      <c r="M15" s="22" t="s">
        <v>59</v>
      </c>
    </row>
    <row r="16" spans="1:16" ht="48" customHeight="1">
      <c r="A16" s="23" t="s">
        <v>373</v>
      </c>
      <c r="B16" s="23"/>
      <c r="C16" s="23"/>
      <c r="D16" s="23"/>
      <c r="E16" s="23"/>
      <c r="F16" s="23"/>
      <c r="G16" s="23"/>
      <c r="H16" s="24" t="s">
        <v>51</v>
      </c>
      <c r="I16" s="24"/>
      <c r="J16" s="24"/>
      <c r="K16" s="24"/>
      <c r="M16" s="22" t="s">
        <v>61</v>
      </c>
      <c r="N16" s="12">
        <f>vlookup(H16,data_summary_by_question!U2:V7,2, FALSE)</f>
        <v>0</v>
      </c>
      <c r="O16" s="12">
        <f>average(N16:N18)</f>
        <v>0</v>
      </c>
      <c r="P16" s="12">
        <f>H16</f>
        <v>0</v>
      </c>
    </row>
    <row r="17" spans="1:16" ht="48" customHeight="1">
      <c r="A17" s="23" t="s">
        <v>374</v>
      </c>
      <c r="B17" s="23"/>
      <c r="C17" s="23"/>
      <c r="D17" s="23"/>
      <c r="E17" s="23"/>
      <c r="F17" s="23"/>
      <c r="G17" s="23"/>
      <c r="H17" s="24" t="s">
        <v>51</v>
      </c>
      <c r="I17" s="24"/>
      <c r="J17" s="24"/>
      <c r="K17" s="24"/>
      <c r="M17" s="22" t="s">
        <v>61</v>
      </c>
      <c r="N17" s="12">
        <f>vlookup(H17,data_summary_by_question!U2:V7,2, FALSE)</f>
        <v>0</v>
      </c>
      <c r="P17" s="12">
        <f>H17</f>
        <v>0</v>
      </c>
    </row>
    <row r="18" spans="1:16" ht="48" customHeight="1">
      <c r="A18" s="23" t="s">
        <v>375</v>
      </c>
      <c r="B18" s="23"/>
      <c r="C18" s="23"/>
      <c r="D18" s="23"/>
      <c r="E18" s="23"/>
      <c r="F18" s="23"/>
      <c r="G18" s="23"/>
      <c r="H18" s="24" t="s">
        <v>51</v>
      </c>
      <c r="I18" s="24"/>
      <c r="J18" s="24"/>
      <c r="K18" s="24"/>
      <c r="M18" s="22" t="s">
        <v>61</v>
      </c>
      <c r="N18" s="12">
        <f>vlookup(H18,data_summary_by_question!U2:V7,2, FALSE)</f>
        <v>0</v>
      </c>
      <c r="P18" s="12">
        <f>H18</f>
        <v>0</v>
      </c>
    </row>
    <row r="19" spans="1:16" ht="48" customHeight="1">
      <c r="A19" s="25" t="s">
        <v>67</v>
      </c>
      <c r="B19" s="25"/>
      <c r="C19" s="25"/>
      <c r="D19" s="25"/>
      <c r="E19" s="25"/>
      <c r="F19" s="25"/>
      <c r="G19" s="25"/>
      <c r="H19" s="26" t="s">
        <v>51</v>
      </c>
      <c r="I19" s="26"/>
      <c r="J19" s="26"/>
      <c r="K19" s="26"/>
      <c r="M19" s="26" t="s">
        <v>68</v>
      </c>
    </row>
    <row r="22" spans="1:16" ht="48" customHeight="1">
      <c r="A22" s="25" t="s">
        <v>154</v>
      </c>
      <c r="B22" s="25"/>
      <c r="C22" s="25"/>
      <c r="D22" s="25"/>
      <c r="E22" s="25"/>
      <c r="F22" s="25"/>
      <c r="G22" s="25"/>
      <c r="H22" s="26" t="s">
        <v>51</v>
      </c>
      <c r="I22" s="26"/>
      <c r="J22" s="26"/>
      <c r="K22" s="26"/>
      <c r="M22" s="26" t="s">
        <v>61</v>
      </c>
    </row>
    <row r="24" spans="1:16" ht="48" customHeight="1">
      <c r="A24" s="25" t="s">
        <v>155</v>
      </c>
      <c r="B24" s="25"/>
      <c r="C24" s="25"/>
      <c r="D24" s="25"/>
      <c r="E24" s="25"/>
      <c r="F24" s="25"/>
      <c r="G24" s="25"/>
      <c r="H24" s="26" t="s">
        <v>51</v>
      </c>
      <c r="I24" s="26"/>
      <c r="J24" s="26"/>
      <c r="K24" s="26"/>
      <c r="M24" s="26" t="s">
        <v>61</v>
      </c>
    </row>
    <row r="26" spans="1:16" ht="48" customHeight="1">
      <c r="A26" s="25" t="s">
        <v>156</v>
      </c>
      <c r="B26" s="25"/>
      <c r="C26" s="25"/>
      <c r="D26" s="25"/>
      <c r="E26" s="25"/>
      <c r="F26" s="25"/>
      <c r="G26" s="25"/>
      <c r="H26" s="26" t="s">
        <v>51</v>
      </c>
      <c r="I26" s="26"/>
      <c r="J26" s="26"/>
      <c r="K26" s="26"/>
      <c r="M26" s="26" t="s">
        <v>61</v>
      </c>
    </row>
    <row r="30" spans="1:16" s="12" customFormat="1">
      <c r="A30" s="12" t="s">
        <v>157</v>
      </c>
      <c r="B30" s="12" t="s">
        <v>158</v>
      </c>
      <c r="C30" s="12" t="s">
        <v>159</v>
      </c>
    </row>
    <row r="31" spans="1:16" s="12" customFormat="1">
      <c r="A31" s="12" t="s">
        <v>46</v>
      </c>
      <c r="B31" s="12">
        <f>COUNTIF(P12:P19,A31)</f>
        <v>0</v>
      </c>
      <c r="C31" s="12">
        <f>B31/ B38</f>
        <v>0</v>
      </c>
    </row>
    <row r="32" spans="1:16" s="12" customFormat="1">
      <c r="A32" s="12" t="s">
        <v>47</v>
      </c>
      <c r="B32" s="12">
        <f>COUNTIF(P12:P19,A32)</f>
        <v>0</v>
      </c>
      <c r="C32" s="12">
        <f>B32/ B38</f>
        <v>0</v>
      </c>
    </row>
    <row r="33" spans="1:3" s="12" customFormat="1">
      <c r="A33" s="12" t="s">
        <v>48</v>
      </c>
      <c r="B33" s="12">
        <f>COUNTIF(P12:P19,A33)</f>
        <v>0</v>
      </c>
      <c r="C33" s="12">
        <f>B33/ B38</f>
        <v>0</v>
      </c>
    </row>
    <row r="34" spans="1:3" s="12" customFormat="1">
      <c r="A34" s="12" t="s">
        <v>49</v>
      </c>
      <c r="B34" s="12">
        <f>COUNTIF(P12:P19,A34)</f>
        <v>0</v>
      </c>
      <c r="C34" s="12">
        <f>B34/ B38</f>
        <v>0</v>
      </c>
    </row>
    <row r="35" spans="1:3" s="12" customFormat="1">
      <c r="A35" s="12" t="s">
        <v>50</v>
      </c>
      <c r="B35" s="12">
        <f>COUNTIF(P12:P19,A35)</f>
        <v>0</v>
      </c>
      <c r="C35" s="12">
        <f>B35/ B38</f>
        <v>0</v>
      </c>
    </row>
    <row r="36" spans="1:3" s="12" customFormat="1">
      <c r="A36" s="12" t="s">
        <v>51</v>
      </c>
      <c r="B36" s="12">
        <f>COUNTIF(P12:P19,A36)</f>
        <v>0</v>
      </c>
      <c r="C36" s="12">
        <f>B36/ B38</f>
        <v>0</v>
      </c>
    </row>
    <row r="37" spans="1:3" s="12" customFormat="1"/>
    <row r="38" spans="1:3" s="12" customFormat="1">
      <c r="A38" s="12" t="s">
        <v>160</v>
      </c>
      <c r="B38" s="12">
        <f>SUM(B31:B36)</f>
        <v>0</v>
      </c>
    </row>
    <row r="39" spans="1:3" s="12" customFormat="1"/>
    <row r="40" spans="1:3" s="12" customFormat="1">
      <c r="A40" s="12" t="s">
        <v>161</v>
      </c>
    </row>
    <row r="41" spans="1:3" s="12" customFormat="1">
      <c r="A41" s="12" t="s">
        <v>162</v>
      </c>
      <c r="B41" s="12">
        <f>countifs(O12:O19,"&gt;=1.0", O12:O19,"&lt;=1.0")</f>
        <v>0</v>
      </c>
    </row>
    <row r="42" spans="1:3" s="12" customFormat="1">
      <c r="A42" s="12" t="s">
        <v>163</v>
      </c>
      <c r="B42" s="12">
        <f>countifs(O12:O19,"&gt;=0.75", O12:O19,"&lt;=0.99")</f>
        <v>0</v>
      </c>
    </row>
    <row r="43" spans="1:3" s="12" customFormat="1">
      <c r="A43" s="12" t="s">
        <v>164</v>
      </c>
      <c r="B43" s="12">
        <f>countifs(O12:O19,"&gt;=0.5", O12:O19,"&lt;=0.74")</f>
        <v>0</v>
      </c>
    </row>
    <row r="44" spans="1:3" s="12" customFormat="1">
      <c r="A44" s="12" t="s">
        <v>165</v>
      </c>
      <c r="B44" s="12">
        <f>countifs(O12:O19,"&gt;=0.25", O12:O19,"&lt;=0.49")</f>
        <v>0</v>
      </c>
    </row>
    <row r="45" spans="1:3" s="12" customFormat="1">
      <c r="A45" s="12" t="s">
        <v>166</v>
      </c>
      <c r="B45" s="12">
        <f>countifs(O12:O19,"&gt;=0.0", O12:O19,"&lt;=0.24")</f>
        <v>0</v>
      </c>
    </row>
    <row r="46" spans="1:3" s="12" customFormat="1"/>
    <row r="47" spans="1:3" s="12" customFormat="1">
      <c r="A47" s="12" t="s">
        <v>160</v>
      </c>
      <c r="B47" s="12">
        <f>SUM(B41:B45)</f>
        <v>0</v>
      </c>
    </row>
  </sheetData>
  <sheetProtection password="E4E4" sheet="1" objects="1" scenarios="1"/>
  <mergeCells count="45">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5:G15"/>
    <mergeCell ref="H15:K15"/>
    <mergeCell ref="A16:G16"/>
    <mergeCell ref="H16:K16"/>
    <mergeCell ref="A17:G17"/>
    <mergeCell ref="H17:K17"/>
    <mergeCell ref="A18:G18"/>
    <mergeCell ref="H18:K18"/>
    <mergeCell ref="A19:G19"/>
    <mergeCell ref="H19:K19"/>
    <mergeCell ref="A22:G22"/>
    <mergeCell ref="H22:K22"/>
    <mergeCell ref="A24:G24"/>
    <mergeCell ref="H24:K24"/>
    <mergeCell ref="A26:G26"/>
    <mergeCell ref="H26:K26"/>
  </mergeCells>
  <dataValidations count="9">
    <dataValidation type="list" allowBlank="1" showInputMessage="1" showErrorMessage="1" sqref="H12">
      <formula1>"Yes,It Does Not Apply,Partially,I Have Done An Alternative Approach,No,No Answer"</formula1>
    </dataValidation>
    <dataValidation type="list" allowBlank="1" showInputMessage="1" showErrorMessage="1" sqref="H13">
      <formula1>"Completed,Partially Completed,Not Yet Started,No Answer"</formula1>
    </dataValidation>
    <dataValidation type="list" allowBlank="1" showInputMessage="1" showErrorMessage="1" sqref="H16">
      <formula1>"Yes,It Does Not Apply,Partially,I Have Done An Alternative Approach,No,No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"Yes,It Does Not Apply,Partially,I Have Done An Alternative Approach,No,No Answer"</formula1>
    </dataValidation>
    <dataValidation type="list" allowBlank="1" showInputMessage="1" showErrorMessage="1" sqref="H19">
      <formula1>"Completed,Partially Completed,Not Yet Started,No Answer"</formula1>
    </dataValidation>
    <dataValidation type="list" allowBlank="1" showInputMessage="1" showErrorMessage="1" sqref="H22">
      <formula1>"Completed,Partially Completed,Not Yet Started,No Answer"</formula1>
    </dataValidation>
    <dataValidation type="list" allowBlank="1" showInputMessage="1" showErrorMessage="1" sqref="H24">
      <formula1>"Completed,Partially Completed,Not Yet Started,No Answer"</formula1>
    </dataValidation>
    <dataValidation type="list" allowBlank="1" showInputMessage="1" showErrorMessage="1" sqref="H26">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15" r:id="rId2"/>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dimension ref="A1:P71"/>
  <sheetViews>
    <sheetView showGridLines="0" workbookViewId="0"/>
  </sheetViews>
  <sheetFormatPr defaultRowHeight="15"/>
  <cols>
    <col min="12" max="12" width="3.7109375" customWidth="1"/>
    <col min="13" max="13" width="61.7109375" customWidth="1"/>
    <col min="14" max="16" width="9.140625" style="12"/>
  </cols>
  <sheetData>
    <row r="1" spans="1:16">
      <c r="A1" s="13" t="s">
        <v>376</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377</v>
      </c>
      <c r="B11" s="21"/>
      <c r="C11" s="21"/>
      <c r="D11" s="21"/>
      <c r="E11" s="21"/>
      <c r="F11" s="21"/>
      <c r="G11" s="21"/>
      <c r="H11" s="20" t="s">
        <v>58</v>
      </c>
      <c r="I11" s="20"/>
      <c r="J11" s="20"/>
      <c r="K11" s="20"/>
      <c r="M11" s="22" t="s">
        <v>59</v>
      </c>
    </row>
    <row r="12" spans="1:16" ht="48" customHeight="1">
      <c r="A12" s="23" t="s">
        <v>378</v>
      </c>
      <c r="B12" s="23"/>
      <c r="C12" s="23"/>
      <c r="D12" s="23"/>
      <c r="E12" s="23"/>
      <c r="F12" s="23"/>
      <c r="G12" s="23"/>
      <c r="H12" s="24" t="s">
        <v>51</v>
      </c>
      <c r="I12" s="24"/>
      <c r="J12" s="24"/>
      <c r="K12" s="24"/>
      <c r="M12" s="22" t="s">
        <v>61</v>
      </c>
      <c r="N12" s="12">
        <f>vlookup(H12,data_summary_by_question!U2:V7,2, FALSE)</f>
        <v>0</v>
      </c>
      <c r="O12" s="12">
        <f>average(N12:N15)</f>
        <v>0</v>
      </c>
      <c r="P12" s="12">
        <f>H12</f>
        <v>0</v>
      </c>
    </row>
    <row r="13" spans="1:16" ht="48" customHeight="1">
      <c r="A13" s="23" t="s">
        <v>379</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3" t="s">
        <v>380</v>
      </c>
      <c r="B14" s="23"/>
      <c r="C14" s="23"/>
      <c r="D14" s="23"/>
      <c r="E14" s="23"/>
      <c r="F14" s="23"/>
      <c r="G14" s="23"/>
      <c r="H14" s="24" t="s">
        <v>51</v>
      </c>
      <c r="I14" s="24"/>
      <c r="J14" s="24"/>
      <c r="K14" s="24"/>
      <c r="M14" s="22" t="s">
        <v>61</v>
      </c>
      <c r="N14" s="12">
        <f>vlookup(H14,data_summary_by_question!U2:V7,2, FALSE)</f>
        <v>0</v>
      </c>
      <c r="P14" s="12">
        <f>H14</f>
        <v>0</v>
      </c>
    </row>
    <row r="15" spans="1:16" ht="48" customHeight="1">
      <c r="A15" s="23" t="s">
        <v>381</v>
      </c>
      <c r="B15" s="23"/>
      <c r="C15" s="23"/>
      <c r="D15" s="23"/>
      <c r="E15" s="23"/>
      <c r="F15" s="23"/>
      <c r="G15" s="23"/>
      <c r="H15" s="24" t="s">
        <v>51</v>
      </c>
      <c r="I15" s="24"/>
      <c r="J15" s="24"/>
      <c r="K15" s="24"/>
      <c r="M15" s="22" t="s">
        <v>61</v>
      </c>
      <c r="N15" s="12">
        <f>vlookup(H15,data_summary_by_question!U2:V7,2, FALSE)</f>
        <v>0</v>
      </c>
      <c r="P15" s="12">
        <f>H15</f>
        <v>0</v>
      </c>
    </row>
    <row r="16" spans="1:16" ht="48" customHeight="1">
      <c r="A16" s="25" t="s">
        <v>67</v>
      </c>
      <c r="B16" s="25"/>
      <c r="C16" s="25"/>
      <c r="D16" s="25"/>
      <c r="E16" s="25"/>
      <c r="F16" s="25"/>
      <c r="G16" s="25"/>
      <c r="H16" s="26" t="s">
        <v>51</v>
      </c>
      <c r="I16" s="26"/>
      <c r="J16" s="26"/>
      <c r="K16" s="26"/>
      <c r="M16" s="26" t="s">
        <v>68</v>
      </c>
    </row>
    <row r="18" spans="1:16" ht="48" customHeight="1">
      <c r="A18" s="21" t="s">
        <v>382</v>
      </c>
      <c r="B18" s="21"/>
      <c r="C18" s="21"/>
      <c r="D18" s="21"/>
      <c r="E18" s="21"/>
      <c r="F18" s="21"/>
      <c r="G18" s="21"/>
      <c r="H18" s="20" t="s">
        <v>58</v>
      </c>
      <c r="I18" s="20"/>
      <c r="J18" s="20"/>
      <c r="K18" s="20"/>
      <c r="M18" s="22" t="s">
        <v>59</v>
      </c>
    </row>
    <row r="19" spans="1:16" ht="48" customHeight="1">
      <c r="A19" s="23" t="s">
        <v>383</v>
      </c>
      <c r="B19" s="23"/>
      <c r="C19" s="23"/>
      <c r="D19" s="23"/>
      <c r="E19" s="23"/>
      <c r="F19" s="23"/>
      <c r="G19" s="23"/>
      <c r="H19" s="24" t="s">
        <v>51</v>
      </c>
      <c r="I19" s="24"/>
      <c r="J19" s="24"/>
      <c r="K19" s="24"/>
      <c r="M19" s="22" t="s">
        <v>61</v>
      </c>
      <c r="N19" s="12">
        <f>vlookup(H19,data_summary_by_question!U2:V7,2, FALSE)</f>
        <v>0</v>
      </c>
      <c r="O19" s="12">
        <f>average(N19:N20)</f>
        <v>0</v>
      </c>
      <c r="P19" s="12">
        <f>H19</f>
        <v>0</v>
      </c>
    </row>
    <row r="20" spans="1:16" ht="48" customHeight="1">
      <c r="A20" s="23" t="s">
        <v>384</v>
      </c>
      <c r="B20" s="23"/>
      <c r="C20" s="23"/>
      <c r="D20" s="23"/>
      <c r="E20" s="23"/>
      <c r="F20" s="23"/>
      <c r="G20" s="23"/>
      <c r="H20" s="24" t="s">
        <v>51</v>
      </c>
      <c r="I20" s="24"/>
      <c r="J20" s="24"/>
      <c r="K20" s="24"/>
      <c r="M20" s="22" t="s">
        <v>61</v>
      </c>
      <c r="N20" s="12">
        <f>vlookup(H20,data_summary_by_question!U2:V7,2, FALSE)</f>
        <v>0</v>
      </c>
      <c r="P20" s="12">
        <f>H20</f>
        <v>0</v>
      </c>
    </row>
    <row r="21" spans="1:16" ht="48" customHeight="1">
      <c r="A21" s="25" t="s">
        <v>67</v>
      </c>
      <c r="B21" s="25"/>
      <c r="C21" s="25"/>
      <c r="D21" s="25"/>
      <c r="E21" s="25"/>
      <c r="F21" s="25"/>
      <c r="G21" s="25"/>
      <c r="H21" s="26" t="s">
        <v>51</v>
      </c>
      <c r="I21" s="26"/>
      <c r="J21" s="26"/>
      <c r="K21" s="26"/>
      <c r="M21" s="26" t="s">
        <v>68</v>
      </c>
    </row>
    <row r="23" spans="1:16" ht="48" customHeight="1">
      <c r="A23" s="21" t="s">
        <v>385</v>
      </c>
      <c r="B23" s="21"/>
      <c r="C23" s="21"/>
      <c r="D23" s="21"/>
      <c r="E23" s="21"/>
      <c r="F23" s="21"/>
      <c r="G23" s="21"/>
      <c r="H23" s="20" t="s">
        <v>58</v>
      </c>
      <c r="I23" s="20"/>
      <c r="J23" s="20"/>
      <c r="K23" s="20"/>
      <c r="M23" s="22" t="s">
        <v>59</v>
      </c>
    </row>
    <row r="24" spans="1:16" ht="48" customHeight="1">
      <c r="A24" s="23" t="s">
        <v>386</v>
      </c>
      <c r="B24" s="23"/>
      <c r="C24" s="23"/>
      <c r="D24" s="23"/>
      <c r="E24" s="23"/>
      <c r="F24" s="23"/>
      <c r="G24" s="23"/>
      <c r="H24" s="24" t="s">
        <v>51</v>
      </c>
      <c r="I24" s="24"/>
      <c r="J24" s="24"/>
      <c r="K24" s="24"/>
      <c r="M24" s="22" t="s">
        <v>61</v>
      </c>
      <c r="N24" s="12">
        <f>vlookup(H24,data_summary_by_question!U2:V7,2, FALSE)</f>
        <v>0</v>
      </c>
      <c r="O24" s="12">
        <f>average(N24:N24)</f>
        <v>0</v>
      </c>
      <c r="P24" s="12">
        <f>H24</f>
        <v>0</v>
      </c>
    </row>
    <row r="25" spans="1:16" ht="48" customHeight="1">
      <c r="A25" s="25" t="s">
        <v>67</v>
      </c>
      <c r="B25" s="25"/>
      <c r="C25" s="25"/>
      <c r="D25" s="25"/>
      <c r="E25" s="25"/>
      <c r="F25" s="25"/>
      <c r="G25" s="25"/>
      <c r="H25" s="26" t="s">
        <v>51</v>
      </c>
      <c r="I25" s="26"/>
      <c r="J25" s="26"/>
      <c r="K25" s="26"/>
      <c r="M25" s="26" t="s">
        <v>68</v>
      </c>
    </row>
    <row r="27" spans="1:16" ht="48" customHeight="1">
      <c r="A27" s="21" t="s">
        <v>387</v>
      </c>
      <c r="B27" s="21"/>
      <c r="C27" s="21"/>
      <c r="D27" s="21"/>
      <c r="E27" s="21"/>
      <c r="F27" s="21"/>
      <c r="G27" s="21"/>
      <c r="H27" s="20" t="s">
        <v>58</v>
      </c>
      <c r="I27" s="20"/>
      <c r="J27" s="20"/>
      <c r="K27" s="20"/>
      <c r="M27" s="22" t="s">
        <v>59</v>
      </c>
    </row>
    <row r="28" spans="1:16" ht="48" customHeight="1">
      <c r="A28" s="23" t="s">
        <v>388</v>
      </c>
      <c r="B28" s="23"/>
      <c r="C28" s="23"/>
      <c r="D28" s="23"/>
      <c r="E28" s="23"/>
      <c r="F28" s="23"/>
      <c r="G28" s="23"/>
      <c r="H28" s="24" t="s">
        <v>51</v>
      </c>
      <c r="I28" s="24"/>
      <c r="J28" s="24"/>
      <c r="K28" s="24"/>
      <c r="M28" s="22" t="s">
        <v>61</v>
      </c>
      <c r="N28" s="12">
        <f>vlookup(H28,data_summary_by_question!U2:V7,2, FALSE)</f>
        <v>0</v>
      </c>
      <c r="O28" s="12">
        <f>average(N28:N30)</f>
        <v>0</v>
      </c>
      <c r="P28" s="12">
        <f>H28</f>
        <v>0</v>
      </c>
    </row>
    <row r="29" spans="1:16" ht="48" customHeight="1">
      <c r="A29" s="23" t="s">
        <v>389</v>
      </c>
      <c r="B29" s="23"/>
      <c r="C29" s="23"/>
      <c r="D29" s="23"/>
      <c r="E29" s="23"/>
      <c r="F29" s="23"/>
      <c r="G29" s="23"/>
      <c r="H29" s="24" t="s">
        <v>51</v>
      </c>
      <c r="I29" s="24"/>
      <c r="J29" s="24"/>
      <c r="K29" s="24"/>
      <c r="M29" s="22" t="s">
        <v>61</v>
      </c>
      <c r="N29" s="12">
        <f>vlookup(H29,data_summary_by_question!U2:V7,2, FALSE)</f>
        <v>0</v>
      </c>
      <c r="P29" s="12">
        <f>H29</f>
        <v>0</v>
      </c>
    </row>
    <row r="30" spans="1:16" ht="48" customHeight="1">
      <c r="A30" s="23" t="s">
        <v>390</v>
      </c>
      <c r="B30" s="23"/>
      <c r="C30" s="23"/>
      <c r="D30" s="23"/>
      <c r="E30" s="23"/>
      <c r="F30" s="23"/>
      <c r="G30" s="23"/>
      <c r="H30" s="24" t="s">
        <v>51</v>
      </c>
      <c r="I30" s="24"/>
      <c r="J30" s="24"/>
      <c r="K30" s="24"/>
      <c r="M30" s="22" t="s">
        <v>61</v>
      </c>
      <c r="N30" s="12">
        <f>vlookup(H30,data_summary_by_question!U2:V7,2, FALSE)</f>
        <v>0</v>
      </c>
      <c r="P30" s="12">
        <f>H30</f>
        <v>0</v>
      </c>
    </row>
    <row r="31" spans="1:16" ht="48" customHeight="1">
      <c r="A31" s="25" t="s">
        <v>67</v>
      </c>
      <c r="B31" s="25"/>
      <c r="C31" s="25"/>
      <c r="D31" s="25"/>
      <c r="E31" s="25"/>
      <c r="F31" s="25"/>
      <c r="G31" s="25"/>
      <c r="H31" s="26" t="s">
        <v>51</v>
      </c>
      <c r="I31" s="26"/>
      <c r="J31" s="26"/>
      <c r="K31" s="26"/>
      <c r="M31" s="26" t="s">
        <v>68</v>
      </c>
    </row>
    <row r="33" spans="1:16" ht="48" customHeight="1">
      <c r="A33" s="21" t="s">
        <v>391</v>
      </c>
      <c r="B33" s="21"/>
      <c r="C33" s="21"/>
      <c r="D33" s="21"/>
      <c r="E33" s="21"/>
      <c r="F33" s="21"/>
      <c r="G33" s="21"/>
      <c r="H33" s="20" t="s">
        <v>58</v>
      </c>
      <c r="I33" s="20"/>
      <c r="J33" s="20"/>
      <c r="K33" s="20"/>
      <c r="M33" s="22" t="s">
        <v>59</v>
      </c>
    </row>
    <row r="34" spans="1:16" ht="48" customHeight="1">
      <c r="A34" s="23" t="s">
        <v>392</v>
      </c>
      <c r="B34" s="23"/>
      <c r="C34" s="23"/>
      <c r="D34" s="23"/>
      <c r="E34" s="23"/>
      <c r="F34" s="23"/>
      <c r="G34" s="23"/>
      <c r="H34" s="24" t="s">
        <v>51</v>
      </c>
      <c r="I34" s="24"/>
      <c r="J34" s="24"/>
      <c r="K34" s="24"/>
      <c r="M34" s="22" t="s">
        <v>61</v>
      </c>
      <c r="N34" s="12">
        <f>vlookup(H34,data_summary_by_question!U2:V7,2, FALSE)</f>
        <v>0</v>
      </c>
      <c r="O34" s="12">
        <f>average(N34:N37)</f>
        <v>0</v>
      </c>
      <c r="P34" s="12">
        <f>H34</f>
        <v>0</v>
      </c>
    </row>
    <row r="35" spans="1:16" ht="48" customHeight="1">
      <c r="A35" s="23" t="s">
        <v>393</v>
      </c>
      <c r="B35" s="23"/>
      <c r="C35" s="23"/>
      <c r="D35" s="23"/>
      <c r="E35" s="23"/>
      <c r="F35" s="23"/>
      <c r="G35" s="23"/>
      <c r="H35" s="24" t="s">
        <v>51</v>
      </c>
      <c r="I35" s="24"/>
      <c r="J35" s="24"/>
      <c r="K35" s="24"/>
      <c r="M35" s="22" t="s">
        <v>61</v>
      </c>
      <c r="N35" s="12">
        <f>vlookup(H35,data_summary_by_question!U2:V7,2, FALSE)</f>
        <v>0</v>
      </c>
      <c r="P35" s="12">
        <f>H35</f>
        <v>0</v>
      </c>
    </row>
    <row r="36" spans="1:16" ht="48" customHeight="1">
      <c r="A36" s="23" t="s">
        <v>394</v>
      </c>
      <c r="B36" s="23"/>
      <c r="C36" s="23"/>
      <c r="D36" s="23"/>
      <c r="E36" s="23"/>
      <c r="F36" s="23"/>
      <c r="G36" s="23"/>
      <c r="H36" s="24" t="s">
        <v>51</v>
      </c>
      <c r="I36" s="24"/>
      <c r="J36" s="24"/>
      <c r="K36" s="24"/>
      <c r="M36" s="22" t="s">
        <v>61</v>
      </c>
      <c r="N36" s="12">
        <f>vlookup(H36,data_summary_by_question!U2:V7,2, FALSE)</f>
        <v>0</v>
      </c>
      <c r="P36" s="12">
        <f>H36</f>
        <v>0</v>
      </c>
    </row>
    <row r="37" spans="1:16" ht="48" customHeight="1">
      <c r="A37" s="23" t="s">
        <v>395</v>
      </c>
      <c r="B37" s="23"/>
      <c r="C37" s="23"/>
      <c r="D37" s="23"/>
      <c r="E37" s="23"/>
      <c r="F37" s="23"/>
      <c r="G37" s="23"/>
      <c r="H37" s="24" t="s">
        <v>51</v>
      </c>
      <c r="I37" s="24"/>
      <c r="J37" s="24"/>
      <c r="K37" s="24"/>
      <c r="M37" s="22" t="s">
        <v>61</v>
      </c>
      <c r="N37" s="12">
        <f>vlookup(H37,data_summary_by_question!U2:V7,2, FALSE)</f>
        <v>0</v>
      </c>
      <c r="P37" s="12">
        <f>H37</f>
        <v>0</v>
      </c>
    </row>
    <row r="38" spans="1:16" ht="48" customHeight="1">
      <c r="A38" s="25" t="s">
        <v>67</v>
      </c>
      <c r="B38" s="25"/>
      <c r="C38" s="25"/>
      <c r="D38" s="25"/>
      <c r="E38" s="25"/>
      <c r="F38" s="25"/>
      <c r="G38" s="25"/>
      <c r="H38" s="26" t="s">
        <v>51</v>
      </c>
      <c r="I38" s="26"/>
      <c r="J38" s="26"/>
      <c r="K38" s="26"/>
      <c r="M38" s="26" t="s">
        <v>68</v>
      </c>
    </row>
    <row r="40" spans="1:16" ht="48" customHeight="1">
      <c r="A40" s="21" t="s">
        <v>396</v>
      </c>
      <c r="B40" s="21"/>
      <c r="C40" s="21"/>
      <c r="D40" s="21"/>
      <c r="E40" s="21"/>
      <c r="F40" s="21"/>
      <c r="G40" s="21"/>
      <c r="H40" s="20" t="s">
        <v>58</v>
      </c>
      <c r="I40" s="20"/>
      <c r="J40" s="20"/>
      <c r="K40" s="20"/>
      <c r="M40" s="22" t="s">
        <v>59</v>
      </c>
    </row>
    <row r="41" spans="1:16" ht="48" customHeight="1">
      <c r="A41" s="23" t="s">
        <v>397</v>
      </c>
      <c r="B41" s="23"/>
      <c r="C41" s="23"/>
      <c r="D41" s="23"/>
      <c r="E41" s="23"/>
      <c r="F41" s="23"/>
      <c r="G41" s="23"/>
      <c r="H41" s="24" t="s">
        <v>51</v>
      </c>
      <c r="I41" s="24"/>
      <c r="J41" s="24"/>
      <c r="K41" s="24"/>
      <c r="M41" s="22" t="s">
        <v>61</v>
      </c>
      <c r="N41" s="12">
        <f>vlookup(H41,data_summary_by_question!U2:V7,2, FALSE)</f>
        <v>0</v>
      </c>
      <c r="O41" s="12">
        <f>average(N41:N42)</f>
        <v>0</v>
      </c>
      <c r="P41" s="12">
        <f>H41</f>
        <v>0</v>
      </c>
    </row>
    <row r="42" spans="1:16" ht="48" customHeight="1">
      <c r="A42" s="23" t="s">
        <v>398</v>
      </c>
      <c r="B42" s="23"/>
      <c r="C42" s="23"/>
      <c r="D42" s="23"/>
      <c r="E42" s="23"/>
      <c r="F42" s="23"/>
      <c r="G42" s="23"/>
      <c r="H42" s="24" t="s">
        <v>51</v>
      </c>
      <c r="I42" s="24"/>
      <c r="J42" s="24"/>
      <c r="K42" s="24"/>
      <c r="M42" s="22" t="s">
        <v>61</v>
      </c>
      <c r="N42" s="12">
        <f>vlookup(H42,data_summary_by_question!U2:V7,2, FALSE)</f>
        <v>0</v>
      </c>
      <c r="P42" s="12">
        <f>H42</f>
        <v>0</v>
      </c>
    </row>
    <row r="43" spans="1:16" ht="48" customHeight="1">
      <c r="A43" s="25" t="s">
        <v>67</v>
      </c>
      <c r="B43" s="25"/>
      <c r="C43" s="25"/>
      <c r="D43" s="25"/>
      <c r="E43" s="25"/>
      <c r="F43" s="25"/>
      <c r="G43" s="25"/>
      <c r="H43" s="26" t="s">
        <v>51</v>
      </c>
      <c r="I43" s="26"/>
      <c r="J43" s="26"/>
      <c r="K43" s="26"/>
      <c r="M43" s="26" t="s">
        <v>68</v>
      </c>
    </row>
    <row r="46" spans="1:16" ht="48" customHeight="1">
      <c r="A46" s="25" t="s">
        <v>154</v>
      </c>
      <c r="B46" s="25"/>
      <c r="C46" s="25"/>
      <c r="D46" s="25"/>
      <c r="E46" s="25"/>
      <c r="F46" s="25"/>
      <c r="G46" s="25"/>
      <c r="H46" s="26" t="s">
        <v>51</v>
      </c>
      <c r="I46" s="26"/>
      <c r="J46" s="26"/>
      <c r="K46" s="26"/>
      <c r="M46" s="26" t="s">
        <v>61</v>
      </c>
    </row>
    <row r="48" spans="1:16" ht="48" customHeight="1">
      <c r="A48" s="25" t="s">
        <v>155</v>
      </c>
      <c r="B48" s="25"/>
      <c r="C48" s="25"/>
      <c r="D48" s="25"/>
      <c r="E48" s="25"/>
      <c r="F48" s="25"/>
      <c r="G48" s="25"/>
      <c r="H48" s="26" t="s">
        <v>51</v>
      </c>
      <c r="I48" s="26"/>
      <c r="J48" s="26"/>
      <c r="K48" s="26"/>
      <c r="M48" s="26" t="s">
        <v>61</v>
      </c>
    </row>
    <row r="50" spans="1:13" ht="48" customHeight="1">
      <c r="A50" s="25" t="s">
        <v>156</v>
      </c>
      <c r="B50" s="25"/>
      <c r="C50" s="25"/>
      <c r="D50" s="25"/>
      <c r="E50" s="25"/>
      <c r="F50" s="25"/>
      <c r="G50" s="25"/>
      <c r="H50" s="26" t="s">
        <v>51</v>
      </c>
      <c r="I50" s="26"/>
      <c r="J50" s="26"/>
      <c r="K50" s="26"/>
      <c r="M50" s="26" t="s">
        <v>61</v>
      </c>
    </row>
    <row r="54" spans="1:13" s="12" customFormat="1">
      <c r="A54" s="12" t="s">
        <v>157</v>
      </c>
      <c r="B54" s="12" t="s">
        <v>158</v>
      </c>
      <c r="C54" s="12" t="s">
        <v>159</v>
      </c>
    </row>
    <row r="55" spans="1:13" s="12" customFormat="1">
      <c r="A55" s="12" t="s">
        <v>46</v>
      </c>
      <c r="B55" s="12">
        <f>COUNTIF(P12:P43,A55)</f>
        <v>0</v>
      </c>
      <c r="C55" s="12">
        <f>B55/ B62</f>
        <v>0</v>
      </c>
    </row>
    <row r="56" spans="1:13" s="12" customFormat="1">
      <c r="A56" s="12" t="s">
        <v>47</v>
      </c>
      <c r="B56" s="12">
        <f>COUNTIF(P12:P43,A56)</f>
        <v>0</v>
      </c>
      <c r="C56" s="12">
        <f>B56/ B62</f>
        <v>0</v>
      </c>
    </row>
    <row r="57" spans="1:13" s="12" customFormat="1">
      <c r="A57" s="12" t="s">
        <v>48</v>
      </c>
      <c r="B57" s="12">
        <f>COUNTIF(P12:P43,A57)</f>
        <v>0</v>
      </c>
      <c r="C57" s="12">
        <f>B57/ B62</f>
        <v>0</v>
      </c>
    </row>
    <row r="58" spans="1:13" s="12" customFormat="1">
      <c r="A58" s="12" t="s">
        <v>49</v>
      </c>
      <c r="B58" s="12">
        <f>COUNTIF(P12:P43,A58)</f>
        <v>0</v>
      </c>
      <c r="C58" s="12">
        <f>B58/ B62</f>
        <v>0</v>
      </c>
    </row>
    <row r="59" spans="1:13" s="12" customFormat="1">
      <c r="A59" s="12" t="s">
        <v>50</v>
      </c>
      <c r="B59" s="12">
        <f>COUNTIF(P12:P43,A59)</f>
        <v>0</v>
      </c>
      <c r="C59" s="12">
        <f>B59/ B62</f>
        <v>0</v>
      </c>
    </row>
    <row r="60" spans="1:13" s="12" customFormat="1">
      <c r="A60" s="12" t="s">
        <v>51</v>
      </c>
      <c r="B60" s="12">
        <f>COUNTIF(P12:P43,A60)</f>
        <v>0</v>
      </c>
      <c r="C60" s="12">
        <f>B60/ B62</f>
        <v>0</v>
      </c>
    </row>
    <row r="61" spans="1:13" s="12" customFormat="1"/>
    <row r="62" spans="1:13" s="12" customFormat="1">
      <c r="A62" s="12" t="s">
        <v>160</v>
      </c>
      <c r="B62" s="12">
        <f>SUM(B55:B60)</f>
        <v>0</v>
      </c>
    </row>
    <row r="63" spans="1:13" s="12" customFormat="1"/>
    <row r="64" spans="1:13" s="12" customFormat="1">
      <c r="A64" s="12" t="s">
        <v>161</v>
      </c>
    </row>
    <row r="65" spans="1:2" s="12" customFormat="1">
      <c r="A65" s="12" t="s">
        <v>162</v>
      </c>
      <c r="B65" s="12">
        <f>countifs(O12:O43,"&gt;=1.0", O12:O43,"&lt;=1.0")</f>
        <v>0</v>
      </c>
    </row>
    <row r="66" spans="1:2" s="12" customFormat="1">
      <c r="A66" s="12" t="s">
        <v>163</v>
      </c>
      <c r="B66" s="12">
        <f>countifs(O12:O43,"&gt;=0.75", O12:O43,"&lt;=0.99")</f>
        <v>0</v>
      </c>
    </row>
    <row r="67" spans="1:2" s="12" customFormat="1">
      <c r="A67" s="12" t="s">
        <v>164</v>
      </c>
      <c r="B67" s="12">
        <f>countifs(O12:O43,"&gt;=0.5", O12:O43,"&lt;=0.74")</f>
        <v>0</v>
      </c>
    </row>
    <row r="68" spans="1:2" s="12" customFormat="1">
      <c r="A68" s="12" t="s">
        <v>165</v>
      </c>
      <c r="B68" s="12">
        <f>countifs(O12:O43,"&gt;=0.25", O12:O43,"&lt;=0.49")</f>
        <v>0</v>
      </c>
    </row>
    <row r="69" spans="1:2" s="12" customFormat="1">
      <c r="A69" s="12" t="s">
        <v>166</v>
      </c>
      <c r="B69" s="12">
        <f>countifs(O12:O43,"&gt;=0.0", O12:O43,"&lt;=0.24")</f>
        <v>0</v>
      </c>
    </row>
    <row r="70" spans="1:2" s="12" customFormat="1"/>
    <row r="71" spans="1:2" s="12" customFormat="1">
      <c r="A71" s="12" t="s">
        <v>160</v>
      </c>
      <c r="B71" s="12">
        <f>SUM(B65:B69)</f>
        <v>0</v>
      </c>
    </row>
  </sheetData>
  <sheetProtection password="E4E4" sheet="1" objects="1" scenarios="1"/>
  <mergeCells count="85">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5:G15"/>
    <mergeCell ref="H15:K15"/>
    <mergeCell ref="A16:G16"/>
    <mergeCell ref="H16:K16"/>
    <mergeCell ref="A18:G18"/>
    <mergeCell ref="H18:K18"/>
    <mergeCell ref="A19:G19"/>
    <mergeCell ref="H19:K19"/>
    <mergeCell ref="A20:G20"/>
    <mergeCell ref="H20:K20"/>
    <mergeCell ref="A21:G21"/>
    <mergeCell ref="H21:K21"/>
    <mergeCell ref="A23:G23"/>
    <mergeCell ref="H23:K23"/>
    <mergeCell ref="A24:G24"/>
    <mergeCell ref="H24:K24"/>
    <mergeCell ref="A25:G25"/>
    <mergeCell ref="H25:K25"/>
    <mergeCell ref="A27:G27"/>
    <mergeCell ref="H27:K27"/>
    <mergeCell ref="A28:G28"/>
    <mergeCell ref="H28:K28"/>
    <mergeCell ref="A29:G29"/>
    <mergeCell ref="H29:K29"/>
    <mergeCell ref="A30:G30"/>
    <mergeCell ref="H30:K30"/>
    <mergeCell ref="A31:G31"/>
    <mergeCell ref="H31:K31"/>
    <mergeCell ref="A33:G33"/>
    <mergeCell ref="H33:K33"/>
    <mergeCell ref="A34:G34"/>
    <mergeCell ref="H34:K34"/>
    <mergeCell ref="A35:G35"/>
    <mergeCell ref="H35:K35"/>
    <mergeCell ref="A36:G36"/>
    <mergeCell ref="H36:K36"/>
    <mergeCell ref="A37:G37"/>
    <mergeCell ref="H37:K37"/>
    <mergeCell ref="A38:G38"/>
    <mergeCell ref="H38:K38"/>
    <mergeCell ref="A40:G40"/>
    <mergeCell ref="H40:K40"/>
    <mergeCell ref="A41:G41"/>
    <mergeCell ref="H41:K41"/>
    <mergeCell ref="A42:G42"/>
    <mergeCell ref="H42:K42"/>
    <mergeCell ref="A43:G43"/>
    <mergeCell ref="H43:K43"/>
    <mergeCell ref="A46:G46"/>
    <mergeCell ref="H46:K46"/>
    <mergeCell ref="A48:G48"/>
    <mergeCell ref="H48:K48"/>
    <mergeCell ref="A50:G50"/>
    <mergeCell ref="H50:K50"/>
  </mergeCells>
  <dataValidations count="25">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"Yes,It Does Not Apply,Partially,I Have Done An Alternative Approach,No,No Answer"</formula1>
    </dataValidation>
    <dataValidation type="list" allowBlank="1" showInputMessage="1" showErrorMessage="1" sqref="H15">
      <formula1>"Yes,It Does Not Apply,Partially,I Have Done An Alternative Approach,No,No Answer"</formula1>
    </dataValidation>
    <dataValidation type="list" allowBlank="1" showInputMessage="1" showErrorMessage="1" sqref="H16">
      <formula1>"Completed,Partially Completed,Not Yet Started,No Answer"</formula1>
    </dataValidation>
    <dataValidation type="list" allowBlank="1" showInputMessage="1" showErrorMessage="1" sqref="H19">
      <formula1>"Yes,It Does Not Apply,Partially,I Have Done An Alternative Approach,No,No Answer"</formula1>
    </dataValidation>
    <dataValidation type="list" allowBlank="1" showInputMessage="1" showErrorMessage="1" sqref="H20">
      <formula1>"Yes,It Does Not Apply,Partially,I Have Done An Alternative Approach,No,No Answer"</formula1>
    </dataValidation>
    <dataValidation type="list" allowBlank="1" showInputMessage="1" showErrorMessage="1" sqref="H21">
      <formula1>"Completed,Partially Completed,Not Yet Started,No Answer"</formula1>
    </dataValidation>
    <dataValidation type="list" allowBlank="1" showInputMessage="1" showErrorMessage="1" sqref="H24">
      <formula1>"Yes,It Does Not Apply,Partially,I Have Done An Alternative Approach,No,No Answer"</formula1>
    </dataValidation>
    <dataValidation type="list" allowBlank="1" showInputMessage="1" showErrorMessage="1" sqref="H25">
      <formula1>"Completed,Partially Completed,Not Yet Started,No Answer"</formula1>
    </dataValidation>
    <dataValidation type="list" allowBlank="1" showInputMessage="1" showErrorMessage="1" sqref="H28">
      <formula1>"Yes,It Does Not Apply,Partially,I Have Done An Alternative Approach,No,No Answer"</formula1>
    </dataValidation>
    <dataValidation type="list" allowBlank="1" showInputMessage="1" showErrorMessage="1" sqref="H29">
      <formula1>"Yes,It Does Not Apply,Partially,I Have Done An Alternative Approach,No,No Answer"</formula1>
    </dataValidation>
    <dataValidation type="list" allowBlank="1" showInputMessage="1" showErrorMessage="1" sqref="H30">
      <formula1>"Yes,It Does Not Apply,Partially,I Have Done An Alternative Approach,No,No Answer"</formula1>
    </dataValidation>
    <dataValidation type="list" allowBlank="1" showInputMessage="1" showErrorMessage="1" sqref="H31">
      <formula1>"Completed,Partially Completed,Not Yet Started,No Answer"</formula1>
    </dataValidation>
    <dataValidation type="list" allowBlank="1" showInputMessage="1" showErrorMessage="1" sqref="H34">
      <formula1>"Yes,It Does Not Apply,Partially,I Have Done An Alternative Approach,No,No Answer"</formula1>
    </dataValidation>
    <dataValidation type="list" allowBlank="1" showInputMessage="1" showErrorMessage="1" sqref="H35">
      <formula1>"Yes,It Does Not Apply,Partially,I Have Done An Alternative Approach,No,No Answer"</formula1>
    </dataValidation>
    <dataValidation type="list" allowBlank="1" showInputMessage="1" showErrorMessage="1" sqref="H36">
      <formula1>"Yes,It Does Not Apply,Partially,I Have Done An Alternative Approach,No,No Answer"</formula1>
    </dataValidation>
    <dataValidation type="list" allowBlank="1" showInputMessage="1" showErrorMessage="1" sqref="H37">
      <formula1>"Yes,It Does Not Apply,Partially,I Have Done An Alternative Approach,No,No Answer"</formula1>
    </dataValidation>
    <dataValidation type="list" allowBlank="1" showInputMessage="1" showErrorMessage="1" sqref="H38">
      <formula1>"Completed,Partially Completed,Not Yet Started,No Answer"</formula1>
    </dataValidation>
    <dataValidation type="list" allowBlank="1" showInputMessage="1" showErrorMessage="1" sqref="H41">
      <formula1>"Yes,It Does Not Apply,Partially,I Have Done An Alternative Approach,No,No Answer"</formula1>
    </dataValidation>
    <dataValidation type="list" allowBlank="1" showInputMessage="1" showErrorMessage="1" sqref="H42">
      <formula1>"Yes,It Does Not Apply,Partially,I Have Done An Alternative Approach,No,No Answer"</formula1>
    </dataValidation>
    <dataValidation type="list" allowBlank="1" showInputMessage="1" showErrorMessage="1" sqref="H43">
      <formula1>"Completed,Partially Completed,Not Yet Started,No Answer"</formula1>
    </dataValidation>
    <dataValidation type="list" allowBlank="1" showInputMessage="1" showErrorMessage="1" sqref="H46">
      <formula1>"Completed,Partially Completed,Not Yet Started,No Answer"</formula1>
    </dataValidation>
    <dataValidation type="list" allowBlank="1" showInputMessage="1" showErrorMessage="1" sqref="H48">
      <formula1>"Completed,Partially Completed,Not Yet Started,No Answer"</formula1>
    </dataValidation>
    <dataValidation type="list" allowBlank="1" showInputMessage="1" showErrorMessage="1" sqref="H50">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18" r:id="rId2"/>
    <hyperlink ref="A23" r:id="rId3"/>
    <hyperlink ref="A27" r:id="rId4"/>
    <hyperlink ref="A33" r:id="rId5"/>
    <hyperlink ref="A40" r:id="rId6"/>
  </hyperlinks>
  <pageMargins left="0.7" right="0.7" top="0.75" bottom="0.75" header="0.3" footer="0.3"/>
  <drawing r:id="rId7"/>
</worksheet>
</file>

<file path=xl/worksheets/sheet12.xml><?xml version="1.0" encoding="utf-8"?>
<worksheet xmlns="http://schemas.openxmlformats.org/spreadsheetml/2006/main" xmlns:r="http://schemas.openxmlformats.org/officeDocument/2006/relationships">
  <dimension ref="A1:P55"/>
  <sheetViews>
    <sheetView showGridLines="0" workbookViewId="0"/>
  </sheetViews>
  <sheetFormatPr defaultRowHeight="15"/>
  <cols>
    <col min="12" max="12" width="3.7109375" customWidth="1"/>
    <col min="13" max="13" width="61.7109375" customWidth="1"/>
    <col min="14" max="16" width="9.140625" style="12"/>
  </cols>
  <sheetData>
    <row r="1" spans="1:16">
      <c r="A1" s="13" t="s">
        <v>399</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400</v>
      </c>
      <c r="B11" s="21"/>
      <c r="C11" s="21"/>
      <c r="D11" s="21"/>
      <c r="E11" s="21"/>
      <c r="F11" s="21"/>
      <c r="G11" s="21"/>
      <c r="H11" s="20" t="s">
        <v>58</v>
      </c>
      <c r="I11" s="20"/>
      <c r="J11" s="20"/>
      <c r="K11" s="20"/>
      <c r="M11" s="22" t="s">
        <v>59</v>
      </c>
    </row>
    <row r="12" spans="1:16" ht="48" customHeight="1">
      <c r="A12" s="23" t="s">
        <v>401</v>
      </c>
      <c r="B12" s="23"/>
      <c r="C12" s="23"/>
      <c r="D12" s="23"/>
      <c r="E12" s="23"/>
      <c r="F12" s="23"/>
      <c r="G12" s="23"/>
      <c r="H12" s="24" t="s">
        <v>51</v>
      </c>
      <c r="I12" s="24"/>
      <c r="J12" s="24"/>
      <c r="K12" s="24"/>
      <c r="M12" s="22" t="s">
        <v>61</v>
      </c>
      <c r="N12" s="12">
        <f>vlookup(H12,data_summary_by_question!U2:V7,2, FALSE)</f>
        <v>0</v>
      </c>
      <c r="O12" s="12">
        <f>average(N12:N13)</f>
        <v>0</v>
      </c>
      <c r="P12" s="12">
        <f>H12</f>
        <v>0</v>
      </c>
    </row>
    <row r="13" spans="1:16" ht="48" customHeight="1">
      <c r="A13" s="23" t="s">
        <v>402</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5" t="s">
        <v>67</v>
      </c>
      <c r="B14" s="25"/>
      <c r="C14" s="25"/>
      <c r="D14" s="25"/>
      <c r="E14" s="25"/>
      <c r="F14" s="25"/>
      <c r="G14" s="25"/>
      <c r="H14" s="26" t="s">
        <v>51</v>
      </c>
      <c r="I14" s="26"/>
      <c r="J14" s="26"/>
      <c r="K14" s="26"/>
      <c r="M14" s="26" t="s">
        <v>68</v>
      </c>
    </row>
    <row r="16" spans="1:16" ht="48" customHeight="1">
      <c r="A16" s="21" t="s">
        <v>403</v>
      </c>
      <c r="B16" s="21"/>
      <c r="C16" s="21"/>
      <c r="D16" s="21"/>
      <c r="E16" s="21"/>
      <c r="F16" s="21"/>
      <c r="G16" s="21"/>
      <c r="H16" s="20" t="s">
        <v>58</v>
      </c>
      <c r="I16" s="20"/>
      <c r="J16" s="20"/>
      <c r="K16" s="20"/>
      <c r="M16" s="22" t="s">
        <v>59</v>
      </c>
    </row>
    <row r="17" spans="1:16" ht="48" customHeight="1">
      <c r="A17" s="23" t="s">
        <v>404</v>
      </c>
      <c r="B17" s="23"/>
      <c r="C17" s="23"/>
      <c r="D17" s="23"/>
      <c r="E17" s="23"/>
      <c r="F17" s="23"/>
      <c r="G17" s="23"/>
      <c r="H17" s="24" t="s">
        <v>51</v>
      </c>
      <c r="I17" s="24"/>
      <c r="J17" s="24"/>
      <c r="K17" s="24"/>
      <c r="M17" s="22" t="s">
        <v>61</v>
      </c>
      <c r="N17" s="12">
        <f>vlookup(H17,data_summary_by_question!U2:V7,2, FALSE)</f>
        <v>0</v>
      </c>
      <c r="O17" s="12">
        <f>average(N17:N21)</f>
        <v>0</v>
      </c>
      <c r="P17" s="12">
        <f>H17</f>
        <v>0</v>
      </c>
    </row>
    <row r="18" spans="1:16" ht="48" customHeight="1">
      <c r="A18" s="23" t="s">
        <v>405</v>
      </c>
      <c r="B18" s="23"/>
      <c r="C18" s="23"/>
      <c r="D18" s="23"/>
      <c r="E18" s="23"/>
      <c r="F18" s="23"/>
      <c r="G18" s="23"/>
      <c r="H18" s="24" t="s">
        <v>51</v>
      </c>
      <c r="I18" s="24"/>
      <c r="J18" s="24"/>
      <c r="K18" s="24"/>
      <c r="M18" s="22" t="s">
        <v>61</v>
      </c>
      <c r="N18" s="12">
        <f>vlookup(H18,data_summary_by_question!U2:V7,2, FALSE)</f>
        <v>0</v>
      </c>
      <c r="P18" s="12">
        <f>H18</f>
        <v>0</v>
      </c>
    </row>
    <row r="19" spans="1:16" ht="48" customHeight="1">
      <c r="A19" s="23" t="s">
        <v>406</v>
      </c>
      <c r="B19" s="23"/>
      <c r="C19" s="23"/>
      <c r="D19" s="23"/>
      <c r="E19" s="23"/>
      <c r="F19" s="23"/>
      <c r="G19" s="23"/>
      <c r="H19" s="24" t="s">
        <v>51</v>
      </c>
      <c r="I19" s="24"/>
      <c r="J19" s="24"/>
      <c r="K19" s="24"/>
      <c r="M19" s="22" t="s">
        <v>61</v>
      </c>
      <c r="N19" s="12">
        <f>vlookup(H19,data_summary_by_question!U2:V7,2, FALSE)</f>
        <v>0</v>
      </c>
      <c r="P19" s="12">
        <f>H19</f>
        <v>0</v>
      </c>
    </row>
    <row r="20" spans="1:16" ht="48" customHeight="1">
      <c r="A20" s="23" t="s">
        <v>407</v>
      </c>
      <c r="B20" s="23"/>
      <c r="C20" s="23"/>
      <c r="D20" s="23"/>
      <c r="E20" s="23"/>
      <c r="F20" s="23"/>
      <c r="G20" s="23"/>
      <c r="H20" s="24" t="s">
        <v>51</v>
      </c>
      <c r="I20" s="24"/>
      <c r="J20" s="24"/>
      <c r="K20" s="24"/>
      <c r="M20" s="22" t="s">
        <v>61</v>
      </c>
      <c r="N20" s="12">
        <f>vlookup(H20,data_summary_by_question!U2:V7,2, FALSE)</f>
        <v>0</v>
      </c>
      <c r="P20" s="12">
        <f>H20</f>
        <v>0</v>
      </c>
    </row>
    <row r="21" spans="1:16" ht="48" customHeight="1">
      <c r="A21" s="23" t="s">
        <v>408</v>
      </c>
      <c r="B21" s="23"/>
      <c r="C21" s="23"/>
      <c r="D21" s="23"/>
      <c r="E21" s="23"/>
      <c r="F21" s="23"/>
      <c r="G21" s="23"/>
      <c r="H21" s="24" t="s">
        <v>51</v>
      </c>
      <c r="I21" s="24"/>
      <c r="J21" s="24"/>
      <c r="K21" s="24"/>
      <c r="M21" s="22" t="s">
        <v>61</v>
      </c>
      <c r="N21" s="12">
        <f>vlookup(H21,data_summary_by_question!U2:V7,2, FALSE)</f>
        <v>0</v>
      </c>
      <c r="P21" s="12">
        <f>H21</f>
        <v>0</v>
      </c>
    </row>
    <row r="22" spans="1:16" ht="48" customHeight="1">
      <c r="A22" s="25" t="s">
        <v>67</v>
      </c>
      <c r="B22" s="25"/>
      <c r="C22" s="25"/>
      <c r="D22" s="25"/>
      <c r="E22" s="25"/>
      <c r="F22" s="25"/>
      <c r="G22" s="25"/>
      <c r="H22" s="26" t="s">
        <v>51</v>
      </c>
      <c r="I22" s="26"/>
      <c r="J22" s="26"/>
      <c r="K22" s="26"/>
      <c r="M22" s="26" t="s">
        <v>68</v>
      </c>
    </row>
    <row r="24" spans="1:16" ht="48" customHeight="1">
      <c r="A24" s="21" t="s">
        <v>409</v>
      </c>
      <c r="B24" s="21"/>
      <c r="C24" s="21"/>
      <c r="D24" s="21"/>
      <c r="E24" s="21"/>
      <c r="F24" s="21"/>
      <c r="G24" s="21"/>
      <c r="H24" s="20" t="s">
        <v>58</v>
      </c>
      <c r="I24" s="20"/>
      <c r="J24" s="20"/>
      <c r="K24" s="20"/>
      <c r="M24" s="22" t="s">
        <v>59</v>
      </c>
    </row>
    <row r="25" spans="1:16" ht="48" customHeight="1">
      <c r="A25" s="23" t="s">
        <v>410</v>
      </c>
      <c r="B25" s="23"/>
      <c r="C25" s="23"/>
      <c r="D25" s="23"/>
      <c r="E25" s="23"/>
      <c r="F25" s="23"/>
      <c r="G25" s="23"/>
      <c r="H25" s="24" t="s">
        <v>51</v>
      </c>
      <c r="I25" s="24"/>
      <c r="J25" s="24"/>
      <c r="K25" s="24"/>
      <c r="M25" s="22" t="s">
        <v>61</v>
      </c>
      <c r="N25" s="12">
        <f>vlookup(H25,data_summary_by_question!U2:V7,2, FALSE)</f>
        <v>0</v>
      </c>
      <c r="O25" s="12">
        <f>average(N25:N26)</f>
        <v>0</v>
      </c>
      <c r="P25" s="12">
        <f>H25</f>
        <v>0</v>
      </c>
    </row>
    <row r="26" spans="1:16" ht="48" customHeight="1">
      <c r="A26" s="23" t="s">
        <v>411</v>
      </c>
      <c r="B26" s="23"/>
      <c r="C26" s="23"/>
      <c r="D26" s="23"/>
      <c r="E26" s="23"/>
      <c r="F26" s="23"/>
      <c r="G26" s="23"/>
      <c r="H26" s="24" t="s">
        <v>51</v>
      </c>
      <c r="I26" s="24"/>
      <c r="J26" s="24"/>
      <c r="K26" s="24"/>
      <c r="M26" s="22" t="s">
        <v>61</v>
      </c>
      <c r="N26" s="12">
        <f>vlookup(H26,data_summary_by_question!U2:V7,2, FALSE)</f>
        <v>0</v>
      </c>
      <c r="P26" s="12">
        <f>H26</f>
        <v>0</v>
      </c>
    </row>
    <row r="27" spans="1:16" ht="48" customHeight="1">
      <c r="A27" s="25" t="s">
        <v>67</v>
      </c>
      <c r="B27" s="25"/>
      <c r="C27" s="25"/>
      <c r="D27" s="25"/>
      <c r="E27" s="25"/>
      <c r="F27" s="25"/>
      <c r="G27" s="25"/>
      <c r="H27" s="26" t="s">
        <v>51</v>
      </c>
      <c r="I27" s="26"/>
      <c r="J27" s="26"/>
      <c r="K27" s="26"/>
      <c r="M27" s="26" t="s">
        <v>68</v>
      </c>
    </row>
    <row r="30" spans="1:16" ht="48" customHeight="1">
      <c r="A30" s="25" t="s">
        <v>154</v>
      </c>
      <c r="B30" s="25"/>
      <c r="C30" s="25"/>
      <c r="D30" s="25"/>
      <c r="E30" s="25"/>
      <c r="F30" s="25"/>
      <c r="G30" s="25"/>
      <c r="H30" s="26" t="s">
        <v>51</v>
      </c>
      <c r="I30" s="26"/>
      <c r="J30" s="26"/>
      <c r="K30" s="26"/>
      <c r="M30" s="26" t="s">
        <v>61</v>
      </c>
    </row>
    <row r="32" spans="1:16" ht="48" customHeight="1">
      <c r="A32" s="25" t="s">
        <v>155</v>
      </c>
      <c r="B32" s="25"/>
      <c r="C32" s="25"/>
      <c r="D32" s="25"/>
      <c r="E32" s="25"/>
      <c r="F32" s="25"/>
      <c r="G32" s="25"/>
      <c r="H32" s="26" t="s">
        <v>51</v>
      </c>
      <c r="I32" s="26"/>
      <c r="J32" s="26"/>
      <c r="K32" s="26"/>
      <c r="M32" s="26" t="s">
        <v>61</v>
      </c>
    </row>
    <row r="34" spans="1:13" ht="48" customHeight="1">
      <c r="A34" s="25" t="s">
        <v>156</v>
      </c>
      <c r="B34" s="25"/>
      <c r="C34" s="25"/>
      <c r="D34" s="25"/>
      <c r="E34" s="25"/>
      <c r="F34" s="25"/>
      <c r="G34" s="25"/>
      <c r="H34" s="26" t="s">
        <v>51</v>
      </c>
      <c r="I34" s="26"/>
      <c r="J34" s="26"/>
      <c r="K34" s="26"/>
      <c r="M34" s="26" t="s">
        <v>61</v>
      </c>
    </row>
    <row r="38" spans="1:13" s="12" customFormat="1">
      <c r="A38" s="12" t="s">
        <v>157</v>
      </c>
      <c r="B38" s="12" t="s">
        <v>158</v>
      </c>
      <c r="C38" s="12" t="s">
        <v>159</v>
      </c>
    </row>
    <row r="39" spans="1:13" s="12" customFormat="1">
      <c r="A39" s="12" t="s">
        <v>46</v>
      </c>
      <c r="B39" s="12">
        <f>COUNTIF(P12:P27,A39)</f>
        <v>0</v>
      </c>
      <c r="C39" s="12">
        <f>B39/ B46</f>
        <v>0</v>
      </c>
    </row>
    <row r="40" spans="1:13" s="12" customFormat="1">
      <c r="A40" s="12" t="s">
        <v>47</v>
      </c>
      <c r="B40" s="12">
        <f>COUNTIF(P12:P27,A40)</f>
        <v>0</v>
      </c>
      <c r="C40" s="12">
        <f>B40/ B46</f>
        <v>0</v>
      </c>
    </row>
    <row r="41" spans="1:13" s="12" customFormat="1">
      <c r="A41" s="12" t="s">
        <v>48</v>
      </c>
      <c r="B41" s="12">
        <f>COUNTIF(P12:P27,A41)</f>
        <v>0</v>
      </c>
      <c r="C41" s="12">
        <f>B41/ B46</f>
        <v>0</v>
      </c>
    </row>
    <row r="42" spans="1:13" s="12" customFormat="1">
      <c r="A42" s="12" t="s">
        <v>49</v>
      </c>
      <c r="B42" s="12">
        <f>COUNTIF(P12:P27,A42)</f>
        <v>0</v>
      </c>
      <c r="C42" s="12">
        <f>B42/ B46</f>
        <v>0</v>
      </c>
    </row>
    <row r="43" spans="1:13" s="12" customFormat="1">
      <c r="A43" s="12" t="s">
        <v>50</v>
      </c>
      <c r="B43" s="12">
        <f>COUNTIF(P12:P27,A43)</f>
        <v>0</v>
      </c>
      <c r="C43" s="12">
        <f>B43/ B46</f>
        <v>0</v>
      </c>
    </row>
    <row r="44" spans="1:13" s="12" customFormat="1">
      <c r="A44" s="12" t="s">
        <v>51</v>
      </c>
      <c r="B44" s="12">
        <f>COUNTIF(P12:P27,A44)</f>
        <v>0</v>
      </c>
      <c r="C44" s="12">
        <f>B44/ B46</f>
        <v>0</v>
      </c>
    </row>
    <row r="45" spans="1:13" s="12" customFormat="1"/>
    <row r="46" spans="1:13" s="12" customFormat="1">
      <c r="A46" s="12" t="s">
        <v>160</v>
      </c>
      <c r="B46" s="12">
        <f>SUM(B39:B44)</f>
        <v>0</v>
      </c>
    </row>
    <row r="47" spans="1:13" s="12" customFormat="1"/>
    <row r="48" spans="1:13" s="12" customFormat="1">
      <c r="A48" s="12" t="s">
        <v>161</v>
      </c>
    </row>
    <row r="49" spans="1:2" s="12" customFormat="1">
      <c r="A49" s="12" t="s">
        <v>162</v>
      </c>
      <c r="B49" s="12">
        <f>countifs(O12:O27,"&gt;=1.0", O12:O27,"&lt;=1.0")</f>
        <v>0</v>
      </c>
    </row>
    <row r="50" spans="1:2" s="12" customFormat="1">
      <c r="A50" s="12" t="s">
        <v>163</v>
      </c>
      <c r="B50" s="12">
        <f>countifs(O12:O27,"&gt;=0.75", O12:O27,"&lt;=0.99")</f>
        <v>0</v>
      </c>
    </row>
    <row r="51" spans="1:2" s="12" customFormat="1">
      <c r="A51" s="12" t="s">
        <v>164</v>
      </c>
      <c r="B51" s="12">
        <f>countifs(O12:O27,"&gt;=0.5", O12:O27,"&lt;=0.74")</f>
        <v>0</v>
      </c>
    </row>
    <row r="52" spans="1:2" s="12" customFormat="1">
      <c r="A52" s="12" t="s">
        <v>165</v>
      </c>
      <c r="B52" s="12">
        <f>countifs(O12:O27,"&gt;=0.25", O12:O27,"&lt;=0.49")</f>
        <v>0</v>
      </c>
    </row>
    <row r="53" spans="1:2" s="12" customFormat="1">
      <c r="A53" s="12" t="s">
        <v>166</v>
      </c>
      <c r="B53" s="12">
        <f>countifs(O12:O27,"&gt;=0.0", O12:O27,"&lt;=0.24")</f>
        <v>0</v>
      </c>
    </row>
    <row r="54" spans="1:2" s="12" customFormat="1"/>
    <row r="55" spans="1:2" s="12" customFormat="1">
      <c r="A55" s="12" t="s">
        <v>160</v>
      </c>
      <c r="B55" s="12">
        <f>SUM(B49:B53)</f>
        <v>0</v>
      </c>
    </row>
  </sheetData>
  <sheetProtection password="E4E4" sheet="1" objects="1" scenarios="1"/>
  <mergeCells count="59">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6:G16"/>
    <mergeCell ref="H16:K16"/>
    <mergeCell ref="A17:G17"/>
    <mergeCell ref="H17:K17"/>
    <mergeCell ref="A18:G18"/>
    <mergeCell ref="H18:K18"/>
    <mergeCell ref="A19:G19"/>
    <mergeCell ref="H19:K19"/>
    <mergeCell ref="A20:G20"/>
    <mergeCell ref="H20:K20"/>
    <mergeCell ref="A21:G21"/>
    <mergeCell ref="H21:K21"/>
    <mergeCell ref="A22:G22"/>
    <mergeCell ref="H22:K22"/>
    <mergeCell ref="A24:G24"/>
    <mergeCell ref="H24:K24"/>
    <mergeCell ref="A25:G25"/>
    <mergeCell ref="H25:K25"/>
    <mergeCell ref="A26:G26"/>
    <mergeCell ref="H26:K26"/>
    <mergeCell ref="A27:G27"/>
    <mergeCell ref="H27:K27"/>
    <mergeCell ref="A30:G30"/>
    <mergeCell ref="H30:K30"/>
    <mergeCell ref="A32:G32"/>
    <mergeCell ref="H32:K32"/>
    <mergeCell ref="A34:G34"/>
    <mergeCell ref="H34:K34"/>
  </mergeCells>
  <dataValidations count="15">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"Completed,Partially Completed,Not Yet Started,No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"Yes,It Does Not Apply,Partially,I Have Done An Alternative Approach,No,No Answer"</formula1>
    </dataValidation>
    <dataValidation type="list" allowBlank="1" showInputMessage="1" showErrorMessage="1" sqref="H19">
      <formula1>"Yes,It Does Not Apply,Partially,I Have Done An Alternative Approach,No,No Answer"</formula1>
    </dataValidation>
    <dataValidation type="list" allowBlank="1" showInputMessage="1" showErrorMessage="1" sqref="H20">
      <formula1>"Yes,It Does Not Apply,Partially,I Have Done An Alternative Approach,No,No Answer"</formula1>
    </dataValidation>
    <dataValidation type="list" allowBlank="1" showInputMessage="1" showErrorMessage="1" sqref="H21">
      <formula1>"Yes,It Does Not Apply,Partially,I Have Done An Alternative Approach,No,No Answer"</formula1>
    </dataValidation>
    <dataValidation type="list" allowBlank="1" showInputMessage="1" showErrorMessage="1" sqref="H22">
      <formula1>"Completed,Partially Completed,Not Yet Started,No Answer"</formula1>
    </dataValidation>
    <dataValidation type="list" allowBlank="1" showInputMessage="1" showErrorMessage="1" sqref="H25">
      <formula1>"Yes,It Does Not Apply,Partially,I Have Done An Alternative Approach,No,No Answer"</formula1>
    </dataValidation>
    <dataValidation type="list" allowBlank="1" showInputMessage="1" showErrorMessage="1" sqref="H26">
      <formula1>"Yes,It Does Not Apply,Partially,I Have Done An Alternative Approach,No,No Answer"</formula1>
    </dataValidation>
    <dataValidation type="list" allowBlank="1" showInputMessage="1" showErrorMessage="1" sqref="H27">
      <formula1>"Completed,Partially Completed,Not Yet Started,No Answer"</formula1>
    </dataValidation>
    <dataValidation type="list" allowBlank="1" showInputMessage="1" showErrorMessage="1" sqref="H30">
      <formula1>"Completed,Partially Completed,Not Yet Started,No Answer"</formula1>
    </dataValidation>
    <dataValidation type="list" allowBlank="1" showInputMessage="1" showErrorMessage="1" sqref="H32">
      <formula1>"Completed,Partially Completed,Not Yet Started,No Answer"</formula1>
    </dataValidation>
    <dataValidation type="list" allowBlank="1" showInputMessage="1" showErrorMessage="1" sqref="H34">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16" r:id="rId2"/>
    <hyperlink ref="A24" r:id="rId3"/>
  </hyperlinks>
  <pageMargins left="0.7" right="0.7" top="0.75" bottom="0.75" header="0.3" footer="0.3"/>
  <drawing r:id="rId4"/>
</worksheet>
</file>

<file path=xl/worksheets/sheet13.xml><?xml version="1.0" encoding="utf-8"?>
<worksheet xmlns="http://schemas.openxmlformats.org/spreadsheetml/2006/main" xmlns:r="http://schemas.openxmlformats.org/officeDocument/2006/relationships">
  <dimension ref="A1:P63"/>
  <sheetViews>
    <sheetView showGridLines="0" workbookViewId="0"/>
  </sheetViews>
  <sheetFormatPr defaultRowHeight="15"/>
  <cols>
    <col min="12" max="12" width="3.7109375" customWidth="1"/>
    <col min="13" max="13" width="61.7109375" customWidth="1"/>
    <col min="14" max="16" width="9.140625" style="12"/>
  </cols>
  <sheetData>
    <row r="1" spans="1:16">
      <c r="A1" s="13" t="s">
        <v>412</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413</v>
      </c>
      <c r="B11" s="21"/>
      <c r="C11" s="21"/>
      <c r="D11" s="21"/>
      <c r="E11" s="21"/>
      <c r="F11" s="21"/>
      <c r="G11" s="21"/>
      <c r="H11" s="20" t="s">
        <v>58</v>
      </c>
      <c r="I11" s="20"/>
      <c r="J11" s="20"/>
      <c r="K11" s="20"/>
      <c r="M11" s="22" t="s">
        <v>59</v>
      </c>
    </row>
    <row r="12" spans="1:16" ht="48" customHeight="1">
      <c r="A12" s="23" t="s">
        <v>414</v>
      </c>
      <c r="B12" s="23"/>
      <c r="C12" s="23"/>
      <c r="D12" s="23"/>
      <c r="E12" s="23"/>
      <c r="F12" s="23"/>
      <c r="G12" s="23"/>
      <c r="H12" s="24" t="s">
        <v>51</v>
      </c>
      <c r="I12" s="24"/>
      <c r="J12" s="24"/>
      <c r="K12" s="24"/>
      <c r="M12" s="22" t="s">
        <v>61</v>
      </c>
      <c r="N12" s="12">
        <f>vlookup(H12,data_summary_by_question!U2:V7,2, FALSE)</f>
        <v>0</v>
      </c>
      <c r="O12" s="12">
        <f>average(N12:N13)</f>
        <v>0</v>
      </c>
      <c r="P12" s="12">
        <f>H12</f>
        <v>0</v>
      </c>
    </row>
    <row r="13" spans="1:16" ht="48" customHeight="1">
      <c r="A13" s="23" t="s">
        <v>415</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5" t="s">
        <v>67</v>
      </c>
      <c r="B14" s="25"/>
      <c r="C14" s="25"/>
      <c r="D14" s="25"/>
      <c r="E14" s="25"/>
      <c r="F14" s="25"/>
      <c r="G14" s="25"/>
      <c r="H14" s="26" t="s">
        <v>51</v>
      </c>
      <c r="I14" s="26"/>
      <c r="J14" s="26"/>
      <c r="K14" s="26"/>
      <c r="M14" s="26" t="s">
        <v>68</v>
      </c>
    </row>
    <row r="16" spans="1:16" ht="48" customHeight="1">
      <c r="A16" s="21" t="s">
        <v>416</v>
      </c>
      <c r="B16" s="21"/>
      <c r="C16" s="21"/>
      <c r="D16" s="21"/>
      <c r="E16" s="21"/>
      <c r="F16" s="21"/>
      <c r="G16" s="21"/>
      <c r="H16" s="20" t="s">
        <v>58</v>
      </c>
      <c r="I16" s="20"/>
      <c r="J16" s="20"/>
      <c r="K16" s="20"/>
      <c r="M16" s="22" t="s">
        <v>59</v>
      </c>
    </row>
    <row r="17" spans="1:16" ht="48" customHeight="1">
      <c r="A17" s="23" t="s">
        <v>417</v>
      </c>
      <c r="B17" s="23"/>
      <c r="C17" s="23"/>
      <c r="D17" s="23"/>
      <c r="E17" s="23"/>
      <c r="F17" s="23"/>
      <c r="G17" s="23"/>
      <c r="H17" s="24" t="s">
        <v>51</v>
      </c>
      <c r="I17" s="24"/>
      <c r="J17" s="24"/>
      <c r="K17" s="24"/>
      <c r="M17" s="22" t="s">
        <v>61</v>
      </c>
      <c r="N17" s="12">
        <f>vlookup(H17,data_summary_by_question!U2:V7,2, FALSE)</f>
        <v>0</v>
      </c>
      <c r="O17" s="12">
        <f>average(N17:N19)</f>
        <v>0</v>
      </c>
      <c r="P17" s="12">
        <f>H17</f>
        <v>0</v>
      </c>
    </row>
    <row r="18" spans="1:16" ht="48" customHeight="1">
      <c r="A18" s="23" t="s">
        <v>418</v>
      </c>
      <c r="B18" s="23"/>
      <c r="C18" s="23"/>
      <c r="D18" s="23"/>
      <c r="E18" s="23"/>
      <c r="F18" s="23"/>
      <c r="G18" s="23"/>
      <c r="H18" s="24" t="s">
        <v>51</v>
      </c>
      <c r="I18" s="24"/>
      <c r="J18" s="24"/>
      <c r="K18" s="24"/>
      <c r="M18" s="22" t="s">
        <v>61</v>
      </c>
      <c r="N18" s="12">
        <f>vlookup(H18,data_summary_by_question!U2:V7,2, FALSE)</f>
        <v>0</v>
      </c>
      <c r="P18" s="12">
        <f>H18</f>
        <v>0</v>
      </c>
    </row>
    <row r="19" spans="1:16" ht="48" customHeight="1">
      <c r="A19" s="23" t="s">
        <v>419</v>
      </c>
      <c r="B19" s="23"/>
      <c r="C19" s="23"/>
      <c r="D19" s="23"/>
      <c r="E19" s="23"/>
      <c r="F19" s="23"/>
      <c r="G19" s="23"/>
      <c r="H19" s="24" t="s">
        <v>51</v>
      </c>
      <c r="I19" s="24"/>
      <c r="J19" s="24"/>
      <c r="K19" s="24"/>
      <c r="M19" s="22" t="s">
        <v>61</v>
      </c>
      <c r="N19" s="12">
        <f>vlookup(H19,data_summary_by_question!U2:V7,2, FALSE)</f>
        <v>0</v>
      </c>
      <c r="P19" s="12">
        <f>H19</f>
        <v>0</v>
      </c>
    </row>
    <row r="20" spans="1:16" ht="48" customHeight="1">
      <c r="A20" s="25" t="s">
        <v>67</v>
      </c>
      <c r="B20" s="25"/>
      <c r="C20" s="25"/>
      <c r="D20" s="25"/>
      <c r="E20" s="25"/>
      <c r="F20" s="25"/>
      <c r="G20" s="25"/>
      <c r="H20" s="26" t="s">
        <v>51</v>
      </c>
      <c r="I20" s="26"/>
      <c r="J20" s="26"/>
      <c r="K20" s="26"/>
      <c r="M20" s="26" t="s">
        <v>68</v>
      </c>
    </row>
    <row r="22" spans="1:16" ht="48" customHeight="1">
      <c r="A22" s="21" t="s">
        <v>420</v>
      </c>
      <c r="B22" s="21"/>
      <c r="C22" s="21"/>
      <c r="D22" s="21"/>
      <c r="E22" s="21"/>
      <c r="F22" s="21"/>
      <c r="G22" s="21"/>
      <c r="H22" s="20" t="s">
        <v>58</v>
      </c>
      <c r="I22" s="20"/>
      <c r="J22" s="20"/>
      <c r="K22" s="20"/>
      <c r="M22" s="22" t="s">
        <v>59</v>
      </c>
    </row>
    <row r="23" spans="1:16" ht="48" customHeight="1">
      <c r="A23" s="23" t="s">
        <v>421</v>
      </c>
      <c r="B23" s="23"/>
      <c r="C23" s="23"/>
      <c r="D23" s="23"/>
      <c r="E23" s="23"/>
      <c r="F23" s="23"/>
      <c r="G23" s="23"/>
      <c r="H23" s="24" t="s">
        <v>51</v>
      </c>
      <c r="I23" s="24"/>
      <c r="J23" s="24"/>
      <c r="K23" s="24"/>
      <c r="M23" s="22" t="s">
        <v>61</v>
      </c>
      <c r="N23" s="12">
        <f>vlookup(H23,data_summary_by_question!U2:V7,2, FALSE)</f>
        <v>0</v>
      </c>
      <c r="O23" s="12">
        <f>average(N23:N23)</f>
        <v>0</v>
      </c>
      <c r="P23" s="12">
        <f>H23</f>
        <v>0</v>
      </c>
    </row>
    <row r="24" spans="1:16" ht="48" customHeight="1">
      <c r="A24" s="25" t="s">
        <v>67</v>
      </c>
      <c r="B24" s="25"/>
      <c r="C24" s="25"/>
      <c r="D24" s="25"/>
      <c r="E24" s="25"/>
      <c r="F24" s="25"/>
      <c r="G24" s="25"/>
      <c r="H24" s="26" t="s">
        <v>51</v>
      </c>
      <c r="I24" s="26"/>
      <c r="J24" s="26"/>
      <c r="K24" s="26"/>
      <c r="M24" s="26" t="s">
        <v>68</v>
      </c>
    </row>
    <row r="26" spans="1:16" ht="48" customHeight="1">
      <c r="A26" s="21" t="s">
        <v>422</v>
      </c>
      <c r="B26" s="21"/>
      <c r="C26" s="21"/>
      <c r="D26" s="21"/>
      <c r="E26" s="21"/>
      <c r="F26" s="21"/>
      <c r="G26" s="21"/>
      <c r="H26" s="20" t="s">
        <v>58</v>
      </c>
      <c r="I26" s="20"/>
      <c r="J26" s="20"/>
      <c r="K26" s="20"/>
      <c r="M26" s="22" t="s">
        <v>59</v>
      </c>
    </row>
    <row r="27" spans="1:16" ht="48" customHeight="1">
      <c r="A27" s="23" t="s">
        <v>423</v>
      </c>
      <c r="B27" s="23"/>
      <c r="C27" s="23"/>
      <c r="D27" s="23"/>
      <c r="E27" s="23"/>
      <c r="F27" s="23"/>
      <c r="G27" s="23"/>
      <c r="H27" s="24" t="s">
        <v>51</v>
      </c>
      <c r="I27" s="24"/>
      <c r="J27" s="24"/>
      <c r="K27" s="24"/>
      <c r="M27" s="22" t="s">
        <v>61</v>
      </c>
      <c r="N27" s="12">
        <f>vlookup(H27,data_summary_by_question!U2:V7,2, FALSE)</f>
        <v>0</v>
      </c>
      <c r="O27" s="12">
        <f>average(N27:N34)</f>
        <v>0</v>
      </c>
      <c r="P27" s="12">
        <f>H27</f>
        <v>0</v>
      </c>
    </row>
    <row r="28" spans="1:16" ht="48" customHeight="1">
      <c r="A28" s="23" t="s">
        <v>424</v>
      </c>
      <c r="B28" s="23"/>
      <c r="C28" s="23"/>
      <c r="D28" s="23"/>
      <c r="E28" s="23"/>
      <c r="F28" s="23"/>
      <c r="G28" s="23"/>
      <c r="H28" s="24" t="s">
        <v>51</v>
      </c>
      <c r="I28" s="24"/>
      <c r="J28" s="24"/>
      <c r="K28" s="24"/>
      <c r="M28" s="22" t="s">
        <v>61</v>
      </c>
      <c r="N28" s="12">
        <f>vlookup(H28,data_summary_by_question!U2:V7,2, FALSE)</f>
        <v>0</v>
      </c>
      <c r="P28" s="12">
        <f>H28</f>
        <v>0</v>
      </c>
    </row>
    <row r="29" spans="1:16" ht="48" customHeight="1">
      <c r="A29" s="23" t="s">
        <v>425</v>
      </c>
      <c r="B29" s="23"/>
      <c r="C29" s="23"/>
      <c r="D29" s="23"/>
      <c r="E29" s="23"/>
      <c r="F29" s="23"/>
      <c r="G29" s="23"/>
      <c r="H29" s="24" t="s">
        <v>51</v>
      </c>
      <c r="I29" s="24"/>
      <c r="J29" s="24"/>
      <c r="K29" s="24"/>
      <c r="M29" s="22" t="s">
        <v>61</v>
      </c>
      <c r="N29" s="12">
        <f>vlookup(H29,data_summary_by_question!U2:V7,2, FALSE)</f>
        <v>0</v>
      </c>
      <c r="P29" s="12">
        <f>H29</f>
        <v>0</v>
      </c>
    </row>
    <row r="30" spans="1:16" ht="48" customHeight="1">
      <c r="A30" s="23" t="s">
        <v>426</v>
      </c>
      <c r="B30" s="23"/>
      <c r="C30" s="23"/>
      <c r="D30" s="23"/>
      <c r="E30" s="23"/>
      <c r="F30" s="23"/>
      <c r="G30" s="23"/>
      <c r="H30" s="24" t="s">
        <v>51</v>
      </c>
      <c r="I30" s="24"/>
      <c r="J30" s="24"/>
      <c r="K30" s="24"/>
      <c r="M30" s="22" t="s">
        <v>61</v>
      </c>
      <c r="N30" s="12">
        <f>vlookup(H30,data_summary_by_question!U2:V7,2, FALSE)</f>
        <v>0</v>
      </c>
      <c r="P30" s="12">
        <f>H30</f>
        <v>0</v>
      </c>
    </row>
    <row r="31" spans="1:16" ht="48" customHeight="1">
      <c r="A31" s="23" t="s">
        <v>427</v>
      </c>
      <c r="B31" s="23"/>
      <c r="C31" s="23"/>
      <c r="D31" s="23"/>
      <c r="E31" s="23"/>
      <c r="F31" s="23"/>
      <c r="G31" s="23"/>
      <c r="H31" s="24" t="s">
        <v>51</v>
      </c>
      <c r="I31" s="24"/>
      <c r="J31" s="24"/>
      <c r="K31" s="24"/>
      <c r="M31" s="22" t="s">
        <v>61</v>
      </c>
      <c r="N31" s="12">
        <f>vlookup(H31,data_summary_by_question!U2:V7,2, FALSE)</f>
        <v>0</v>
      </c>
      <c r="P31" s="12">
        <f>H31</f>
        <v>0</v>
      </c>
    </row>
    <row r="32" spans="1:16" ht="48" customHeight="1">
      <c r="A32" s="23" t="s">
        <v>428</v>
      </c>
      <c r="B32" s="23"/>
      <c r="C32" s="23"/>
      <c r="D32" s="23"/>
      <c r="E32" s="23"/>
      <c r="F32" s="23"/>
      <c r="G32" s="23"/>
      <c r="H32" s="24" t="s">
        <v>51</v>
      </c>
      <c r="I32" s="24"/>
      <c r="J32" s="24"/>
      <c r="K32" s="24"/>
      <c r="M32" s="22" t="s">
        <v>61</v>
      </c>
      <c r="N32" s="12">
        <f>vlookup(H32,data_summary_by_question!U2:V7,2, FALSE)</f>
        <v>0</v>
      </c>
      <c r="P32" s="12">
        <f>H32</f>
        <v>0</v>
      </c>
    </row>
    <row r="33" spans="1:16" ht="48" customHeight="1">
      <c r="A33" s="23" t="s">
        <v>429</v>
      </c>
      <c r="B33" s="23"/>
      <c r="C33" s="23"/>
      <c r="D33" s="23"/>
      <c r="E33" s="23"/>
      <c r="F33" s="23"/>
      <c r="G33" s="23"/>
      <c r="H33" s="24" t="s">
        <v>51</v>
      </c>
      <c r="I33" s="24"/>
      <c r="J33" s="24"/>
      <c r="K33" s="24"/>
      <c r="M33" s="22" t="s">
        <v>61</v>
      </c>
      <c r="N33" s="12">
        <f>vlookup(H33,data_summary_by_question!U2:V7,2, FALSE)</f>
        <v>0</v>
      </c>
      <c r="P33" s="12">
        <f>H33</f>
        <v>0</v>
      </c>
    </row>
    <row r="34" spans="1:16" ht="48" customHeight="1">
      <c r="A34" s="23" t="s">
        <v>430</v>
      </c>
      <c r="B34" s="23"/>
      <c r="C34" s="23"/>
      <c r="D34" s="23"/>
      <c r="E34" s="23"/>
      <c r="F34" s="23"/>
      <c r="G34" s="23"/>
      <c r="H34" s="24" t="s">
        <v>51</v>
      </c>
      <c r="I34" s="24"/>
      <c r="J34" s="24"/>
      <c r="K34" s="24"/>
      <c r="M34" s="22" t="s">
        <v>61</v>
      </c>
      <c r="N34" s="12">
        <f>vlookup(H34,data_summary_by_question!U2:V7,2, FALSE)</f>
        <v>0</v>
      </c>
      <c r="P34" s="12">
        <f>H34</f>
        <v>0</v>
      </c>
    </row>
    <row r="35" spans="1:16" ht="48" customHeight="1">
      <c r="A35" s="25" t="s">
        <v>67</v>
      </c>
      <c r="B35" s="25"/>
      <c r="C35" s="25"/>
      <c r="D35" s="25"/>
      <c r="E35" s="25"/>
      <c r="F35" s="25"/>
      <c r="G35" s="25"/>
      <c r="H35" s="26" t="s">
        <v>51</v>
      </c>
      <c r="I35" s="26"/>
      <c r="J35" s="26"/>
      <c r="K35" s="26"/>
      <c r="M35" s="26" t="s">
        <v>68</v>
      </c>
    </row>
    <row r="38" spans="1:16" ht="48" customHeight="1">
      <c r="A38" s="25" t="s">
        <v>154</v>
      </c>
      <c r="B38" s="25"/>
      <c r="C38" s="25"/>
      <c r="D38" s="25"/>
      <c r="E38" s="25"/>
      <c r="F38" s="25"/>
      <c r="G38" s="25"/>
      <c r="H38" s="26" t="s">
        <v>51</v>
      </c>
      <c r="I38" s="26"/>
      <c r="J38" s="26"/>
      <c r="K38" s="26"/>
      <c r="M38" s="26" t="s">
        <v>61</v>
      </c>
    </row>
    <row r="40" spans="1:16" ht="48" customHeight="1">
      <c r="A40" s="25" t="s">
        <v>155</v>
      </c>
      <c r="B40" s="25"/>
      <c r="C40" s="25"/>
      <c r="D40" s="25"/>
      <c r="E40" s="25"/>
      <c r="F40" s="25"/>
      <c r="G40" s="25"/>
      <c r="H40" s="26" t="s">
        <v>51</v>
      </c>
      <c r="I40" s="26"/>
      <c r="J40" s="26"/>
      <c r="K40" s="26"/>
      <c r="M40" s="26" t="s">
        <v>61</v>
      </c>
    </row>
    <row r="42" spans="1:16" ht="48" customHeight="1">
      <c r="A42" s="25" t="s">
        <v>156</v>
      </c>
      <c r="B42" s="25"/>
      <c r="C42" s="25"/>
      <c r="D42" s="25"/>
      <c r="E42" s="25"/>
      <c r="F42" s="25"/>
      <c r="G42" s="25"/>
      <c r="H42" s="26" t="s">
        <v>51</v>
      </c>
      <c r="I42" s="26"/>
      <c r="J42" s="26"/>
      <c r="K42" s="26"/>
      <c r="M42" s="26" t="s">
        <v>61</v>
      </c>
    </row>
    <row r="46" spans="1:16" s="12" customFormat="1">
      <c r="A46" s="12" t="s">
        <v>157</v>
      </c>
      <c r="B46" s="12" t="s">
        <v>158</v>
      </c>
      <c r="C46" s="12" t="s">
        <v>159</v>
      </c>
    </row>
    <row r="47" spans="1:16" s="12" customFormat="1">
      <c r="A47" s="12" t="s">
        <v>46</v>
      </c>
      <c r="B47" s="12">
        <f>COUNTIF(P12:P35,A47)</f>
        <v>0</v>
      </c>
      <c r="C47" s="12">
        <f>B47/ B54</f>
        <v>0</v>
      </c>
    </row>
    <row r="48" spans="1:16" s="12" customFormat="1">
      <c r="A48" s="12" t="s">
        <v>47</v>
      </c>
      <c r="B48" s="12">
        <f>COUNTIF(P12:P35,A48)</f>
        <v>0</v>
      </c>
      <c r="C48" s="12">
        <f>B48/ B54</f>
        <v>0</v>
      </c>
    </row>
    <row r="49" spans="1:3" s="12" customFormat="1">
      <c r="A49" s="12" t="s">
        <v>48</v>
      </c>
      <c r="B49" s="12">
        <f>COUNTIF(P12:P35,A49)</f>
        <v>0</v>
      </c>
      <c r="C49" s="12">
        <f>B49/ B54</f>
        <v>0</v>
      </c>
    </row>
    <row r="50" spans="1:3" s="12" customFormat="1">
      <c r="A50" s="12" t="s">
        <v>49</v>
      </c>
      <c r="B50" s="12">
        <f>COUNTIF(P12:P35,A50)</f>
        <v>0</v>
      </c>
      <c r="C50" s="12">
        <f>B50/ B54</f>
        <v>0</v>
      </c>
    </row>
    <row r="51" spans="1:3" s="12" customFormat="1">
      <c r="A51" s="12" t="s">
        <v>50</v>
      </c>
      <c r="B51" s="12">
        <f>COUNTIF(P12:P35,A51)</f>
        <v>0</v>
      </c>
      <c r="C51" s="12">
        <f>B51/ B54</f>
        <v>0</v>
      </c>
    </row>
    <row r="52" spans="1:3" s="12" customFormat="1">
      <c r="A52" s="12" t="s">
        <v>51</v>
      </c>
      <c r="B52" s="12">
        <f>COUNTIF(P12:P35,A52)</f>
        <v>0</v>
      </c>
      <c r="C52" s="12">
        <f>B52/ B54</f>
        <v>0</v>
      </c>
    </row>
    <row r="53" spans="1:3" s="12" customFormat="1"/>
    <row r="54" spans="1:3" s="12" customFormat="1">
      <c r="A54" s="12" t="s">
        <v>160</v>
      </c>
      <c r="B54" s="12">
        <f>SUM(B47:B52)</f>
        <v>0</v>
      </c>
    </row>
    <row r="55" spans="1:3" s="12" customFormat="1"/>
    <row r="56" spans="1:3" s="12" customFormat="1">
      <c r="A56" s="12" t="s">
        <v>161</v>
      </c>
    </row>
    <row r="57" spans="1:3" s="12" customFormat="1">
      <c r="A57" s="12" t="s">
        <v>162</v>
      </c>
      <c r="B57" s="12">
        <f>countifs(O12:O35,"&gt;=1.0", O12:O35,"&lt;=1.0")</f>
        <v>0</v>
      </c>
    </row>
    <row r="58" spans="1:3" s="12" customFormat="1">
      <c r="A58" s="12" t="s">
        <v>163</v>
      </c>
      <c r="B58" s="12">
        <f>countifs(O12:O35,"&gt;=0.75", O12:O35,"&lt;=0.99")</f>
        <v>0</v>
      </c>
    </row>
    <row r="59" spans="1:3" s="12" customFormat="1">
      <c r="A59" s="12" t="s">
        <v>164</v>
      </c>
      <c r="B59" s="12">
        <f>countifs(O12:O35,"&gt;=0.5", O12:O35,"&lt;=0.74")</f>
        <v>0</v>
      </c>
    </row>
    <row r="60" spans="1:3" s="12" customFormat="1">
      <c r="A60" s="12" t="s">
        <v>165</v>
      </c>
      <c r="B60" s="12">
        <f>countifs(O12:O35,"&gt;=0.25", O12:O35,"&lt;=0.49")</f>
        <v>0</v>
      </c>
    </row>
    <row r="61" spans="1:3" s="12" customFormat="1">
      <c r="A61" s="12" t="s">
        <v>166</v>
      </c>
      <c r="B61" s="12">
        <f>countifs(O12:O35,"&gt;=0.0", O12:O35,"&lt;=0.24")</f>
        <v>0</v>
      </c>
    </row>
    <row r="62" spans="1:3" s="12" customFormat="1"/>
    <row r="63" spans="1:3" s="12" customFormat="1">
      <c r="A63" s="12" t="s">
        <v>160</v>
      </c>
      <c r="B63" s="12">
        <f>SUM(B57:B61)</f>
        <v>0</v>
      </c>
    </row>
  </sheetData>
  <sheetProtection password="E4E4" sheet="1" objects="1" scenarios="1"/>
  <mergeCells count="73">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6:G16"/>
    <mergeCell ref="H16:K16"/>
    <mergeCell ref="A17:G17"/>
    <mergeCell ref="H17:K17"/>
    <mergeCell ref="A18:G18"/>
    <mergeCell ref="H18:K18"/>
    <mergeCell ref="A19:G19"/>
    <mergeCell ref="H19:K19"/>
    <mergeCell ref="A20:G20"/>
    <mergeCell ref="H20:K20"/>
    <mergeCell ref="A22:G22"/>
    <mergeCell ref="H22:K22"/>
    <mergeCell ref="A23:G23"/>
    <mergeCell ref="H23:K23"/>
    <mergeCell ref="A24:G24"/>
    <mergeCell ref="H24:K24"/>
    <mergeCell ref="A26:G26"/>
    <mergeCell ref="H26:K26"/>
    <mergeCell ref="A27:G27"/>
    <mergeCell ref="H27:K27"/>
    <mergeCell ref="A28:G28"/>
    <mergeCell ref="H28:K28"/>
    <mergeCell ref="A29:G29"/>
    <mergeCell ref="H29:K29"/>
    <mergeCell ref="A30:G30"/>
    <mergeCell ref="H30:K30"/>
    <mergeCell ref="A31:G31"/>
    <mergeCell ref="H31:K31"/>
    <mergeCell ref="A32:G32"/>
    <mergeCell ref="H32:K32"/>
    <mergeCell ref="A33:G33"/>
    <mergeCell ref="H33:K33"/>
    <mergeCell ref="A34:G34"/>
    <mergeCell ref="H34:K34"/>
    <mergeCell ref="A35:G35"/>
    <mergeCell ref="H35:K35"/>
    <mergeCell ref="A38:G38"/>
    <mergeCell ref="H38:K38"/>
    <mergeCell ref="A40:G40"/>
    <mergeCell ref="H40:K40"/>
    <mergeCell ref="A42:G42"/>
    <mergeCell ref="H42:K42"/>
  </mergeCells>
  <dataValidations count="21">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"Completed,Partially Completed,Not Yet Started,No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"Yes,It Does Not Apply,Partially,I Have Done An Alternative Approach,No,No Answer"</formula1>
    </dataValidation>
    <dataValidation type="list" allowBlank="1" showInputMessage="1" showErrorMessage="1" sqref="H19">
      <formula1>"Yes,It Does Not Apply,Partially,I Have Done An Alternative Approach,No,No Answer"</formula1>
    </dataValidation>
    <dataValidation type="list" allowBlank="1" showInputMessage="1" showErrorMessage="1" sqref="H20">
      <formula1>"Completed,Partially Completed,Not Yet Started,No Answer"</formula1>
    </dataValidation>
    <dataValidation type="list" allowBlank="1" showInputMessage="1" showErrorMessage="1" sqref="H23">
      <formula1>"Yes,It Does Not Apply,Partially,I Have Done An Alternative Approach,No,No Answer"</formula1>
    </dataValidation>
    <dataValidation type="list" allowBlank="1" showInputMessage="1" showErrorMessage="1" sqref="H24">
      <formula1>"Completed,Partially Completed,Not Yet Started,No Answer"</formula1>
    </dataValidation>
    <dataValidation type="list" allowBlank="1" showInputMessage="1" showErrorMessage="1" sqref="H27">
      <formula1>"Yes,It Does Not Apply,Partially,I Have Done An Alternative Approach,No,No Answer"</formula1>
    </dataValidation>
    <dataValidation type="list" allowBlank="1" showInputMessage="1" showErrorMessage="1" sqref="H28">
      <formula1>"Yes,It Does Not Apply,Partially,I Have Done An Alternative Approach,No,No Answer"</formula1>
    </dataValidation>
    <dataValidation type="list" allowBlank="1" showInputMessage="1" showErrorMessage="1" sqref="H29">
      <formula1>"Yes,It Does Not Apply,Partially,I Have Done An Alternative Approach,No,No Answer"</formula1>
    </dataValidation>
    <dataValidation type="list" allowBlank="1" showInputMessage="1" showErrorMessage="1" sqref="H30">
      <formula1>"Yes,It Does Not Apply,Partially,I Have Done An Alternative Approach,No,No Answer"</formula1>
    </dataValidation>
    <dataValidation type="list" allowBlank="1" showInputMessage="1" showErrorMessage="1" sqref="H31">
      <formula1>"Yes,It Does Not Apply,Partially,I Have Done An Alternative Approach,No,No Answer"</formula1>
    </dataValidation>
    <dataValidation type="list" allowBlank="1" showInputMessage="1" showErrorMessage="1" sqref="H32">
      <formula1>"Yes,It Does Not Apply,Partially,I Have Done An Alternative Approach,No,No Answer"</formula1>
    </dataValidation>
    <dataValidation type="list" allowBlank="1" showInputMessage="1" showErrorMessage="1" sqref="H33">
      <formula1>"Yes,It Does Not Apply,Partially,I Have Done An Alternative Approach,No,No Answer"</formula1>
    </dataValidation>
    <dataValidation type="list" allowBlank="1" showInputMessage="1" showErrorMessage="1" sqref="H34">
      <formula1>"Yes,It Does Not Apply,Partially,I Have Done An Alternative Approach,No,No Answer"</formula1>
    </dataValidation>
    <dataValidation type="list" allowBlank="1" showInputMessage="1" showErrorMessage="1" sqref="H35">
      <formula1>"Completed,Partially Completed,Not Yet Started,No Answer"</formula1>
    </dataValidation>
    <dataValidation type="list" allowBlank="1" showInputMessage="1" showErrorMessage="1" sqref="H38">
      <formula1>"Completed,Partially Completed,Not Yet Started,No Answer"</formula1>
    </dataValidation>
    <dataValidation type="list" allowBlank="1" showInputMessage="1" showErrorMessage="1" sqref="H40">
      <formula1>"Completed,Partially Completed,Not Yet Started,No Answer"</formula1>
    </dataValidation>
    <dataValidation type="list" allowBlank="1" showInputMessage="1" showErrorMessage="1" sqref="H42">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16" r:id="rId2"/>
    <hyperlink ref="A22" r:id="rId3"/>
    <hyperlink ref="A26" r:id="rId4"/>
  </hyperlinks>
  <pageMargins left="0.7" right="0.7" top="0.75" bottom="0.75" header="0.3" footer="0.3"/>
  <drawing r:id="rId5"/>
</worksheet>
</file>

<file path=xl/worksheets/sheet14.xml><?xml version="1.0" encoding="utf-8"?>
<worksheet xmlns="http://schemas.openxmlformats.org/spreadsheetml/2006/main" xmlns:r="http://schemas.openxmlformats.org/officeDocument/2006/relationships">
  <dimension ref="A1:P78"/>
  <sheetViews>
    <sheetView showGridLines="0" workbookViewId="0"/>
  </sheetViews>
  <sheetFormatPr defaultRowHeight="15"/>
  <cols>
    <col min="12" max="12" width="3.7109375" customWidth="1"/>
    <col min="13" max="13" width="61.7109375" customWidth="1"/>
    <col min="14" max="16" width="9.140625" style="12"/>
  </cols>
  <sheetData>
    <row r="1" spans="1:16">
      <c r="A1" s="13" t="s">
        <v>431</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432</v>
      </c>
      <c r="B11" s="21"/>
      <c r="C11" s="21"/>
      <c r="D11" s="21"/>
      <c r="E11" s="21"/>
      <c r="F11" s="21"/>
      <c r="G11" s="21"/>
      <c r="H11" s="20" t="s">
        <v>58</v>
      </c>
      <c r="I11" s="20"/>
      <c r="J11" s="20"/>
      <c r="K11" s="20"/>
      <c r="M11" s="22" t="s">
        <v>59</v>
      </c>
    </row>
    <row r="12" spans="1:16" ht="48" customHeight="1">
      <c r="A12" s="23" t="s">
        <v>433</v>
      </c>
      <c r="B12" s="23"/>
      <c r="C12" s="23"/>
      <c r="D12" s="23"/>
      <c r="E12" s="23"/>
      <c r="F12" s="23"/>
      <c r="G12" s="23"/>
      <c r="H12" s="24" t="s">
        <v>51</v>
      </c>
      <c r="I12" s="24"/>
      <c r="J12" s="24"/>
      <c r="K12" s="24"/>
      <c r="M12" s="22" t="s">
        <v>61</v>
      </c>
      <c r="N12" s="12">
        <f>vlookup(H12,data_summary_by_question!U2:V7,2, FALSE)</f>
        <v>0</v>
      </c>
      <c r="O12" s="12">
        <f>average(N12:N17)</f>
        <v>0</v>
      </c>
      <c r="P12" s="12">
        <f>H12</f>
        <v>0</v>
      </c>
    </row>
    <row r="13" spans="1:16" ht="48" customHeight="1">
      <c r="A13" s="23" t="s">
        <v>434</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3" t="s">
        <v>435</v>
      </c>
      <c r="B14" s="23"/>
      <c r="C14" s="23"/>
      <c r="D14" s="23"/>
      <c r="E14" s="23"/>
      <c r="F14" s="23"/>
      <c r="G14" s="23"/>
      <c r="H14" s="24" t="s">
        <v>51</v>
      </c>
      <c r="I14" s="24"/>
      <c r="J14" s="24"/>
      <c r="K14" s="24"/>
      <c r="M14" s="22" t="s">
        <v>61</v>
      </c>
      <c r="N14" s="12">
        <f>vlookup(H14,data_summary_by_question!U2:V7,2, FALSE)</f>
        <v>0</v>
      </c>
      <c r="P14" s="12">
        <f>H14</f>
        <v>0</v>
      </c>
    </row>
    <row r="15" spans="1:16" ht="48" customHeight="1">
      <c r="A15" s="23" t="s">
        <v>436</v>
      </c>
      <c r="B15" s="23"/>
      <c r="C15" s="23"/>
      <c r="D15" s="23"/>
      <c r="E15" s="23"/>
      <c r="F15" s="23"/>
      <c r="G15" s="23"/>
      <c r="H15" s="24" t="s">
        <v>51</v>
      </c>
      <c r="I15" s="24"/>
      <c r="J15" s="24"/>
      <c r="K15" s="24"/>
      <c r="M15" s="22" t="s">
        <v>61</v>
      </c>
      <c r="N15" s="12">
        <f>vlookup(H15,data_summary_by_question!U2:V7,2, FALSE)</f>
        <v>0</v>
      </c>
      <c r="P15" s="12">
        <f>H15</f>
        <v>0</v>
      </c>
    </row>
    <row r="16" spans="1:16" ht="48" customHeight="1">
      <c r="A16" s="23" t="s">
        <v>437</v>
      </c>
      <c r="B16" s="23"/>
      <c r="C16" s="23"/>
      <c r="D16" s="23"/>
      <c r="E16" s="23"/>
      <c r="F16" s="23"/>
      <c r="G16" s="23"/>
      <c r="H16" s="24" t="s">
        <v>51</v>
      </c>
      <c r="I16" s="24"/>
      <c r="J16" s="24"/>
      <c r="K16" s="24"/>
      <c r="M16" s="22" t="s">
        <v>61</v>
      </c>
      <c r="N16" s="12">
        <f>vlookup(H16,data_summary_by_question!U2:V7,2, FALSE)</f>
        <v>0</v>
      </c>
      <c r="P16" s="12">
        <f>H16</f>
        <v>0</v>
      </c>
    </row>
    <row r="17" spans="1:16" ht="48" customHeight="1">
      <c r="A17" s="23" t="s">
        <v>438</v>
      </c>
      <c r="B17" s="23"/>
      <c r="C17" s="23"/>
      <c r="D17" s="23"/>
      <c r="E17" s="23"/>
      <c r="F17" s="23"/>
      <c r="G17" s="23"/>
      <c r="H17" s="24" t="s">
        <v>51</v>
      </c>
      <c r="I17" s="24"/>
      <c r="J17" s="24"/>
      <c r="K17" s="24"/>
      <c r="M17" s="22" t="s">
        <v>61</v>
      </c>
      <c r="N17" s="12">
        <f>vlookup(H17,data_summary_by_question!U2:V7,2, FALSE)</f>
        <v>0</v>
      </c>
      <c r="P17" s="12">
        <f>H17</f>
        <v>0</v>
      </c>
    </row>
    <row r="18" spans="1:16" ht="48" customHeight="1">
      <c r="A18" s="25" t="s">
        <v>67</v>
      </c>
      <c r="B18" s="25"/>
      <c r="C18" s="25"/>
      <c r="D18" s="25"/>
      <c r="E18" s="25"/>
      <c r="F18" s="25"/>
      <c r="G18" s="25"/>
      <c r="H18" s="26" t="s">
        <v>51</v>
      </c>
      <c r="I18" s="26"/>
      <c r="J18" s="26"/>
      <c r="K18" s="26"/>
      <c r="M18" s="26" t="s">
        <v>68</v>
      </c>
    </row>
    <row r="20" spans="1:16" ht="48" customHeight="1">
      <c r="A20" s="21" t="s">
        <v>439</v>
      </c>
      <c r="B20" s="21"/>
      <c r="C20" s="21"/>
      <c r="D20" s="21"/>
      <c r="E20" s="21"/>
      <c r="F20" s="21"/>
      <c r="G20" s="21"/>
      <c r="H20" s="20" t="s">
        <v>58</v>
      </c>
      <c r="I20" s="20"/>
      <c r="J20" s="20"/>
      <c r="K20" s="20"/>
      <c r="M20" s="22" t="s">
        <v>59</v>
      </c>
    </row>
    <row r="21" spans="1:16" ht="48" customHeight="1">
      <c r="A21" s="23" t="s">
        <v>440</v>
      </c>
      <c r="B21" s="23"/>
      <c r="C21" s="23"/>
      <c r="D21" s="23"/>
      <c r="E21" s="23"/>
      <c r="F21" s="23"/>
      <c r="G21" s="23"/>
      <c r="H21" s="24" t="s">
        <v>51</v>
      </c>
      <c r="I21" s="24"/>
      <c r="J21" s="24"/>
      <c r="K21" s="24"/>
      <c r="M21" s="22" t="s">
        <v>61</v>
      </c>
      <c r="N21" s="12">
        <f>vlookup(H21,data_summary_by_question!U2:V7,2, FALSE)</f>
        <v>0</v>
      </c>
      <c r="O21" s="12">
        <f>average(N21:N22)</f>
        <v>0</v>
      </c>
      <c r="P21" s="12">
        <f>H21</f>
        <v>0</v>
      </c>
    </row>
    <row r="22" spans="1:16" ht="48" customHeight="1">
      <c r="A22" s="23" t="s">
        <v>441</v>
      </c>
      <c r="B22" s="23"/>
      <c r="C22" s="23"/>
      <c r="D22" s="23"/>
      <c r="E22" s="23"/>
      <c r="F22" s="23"/>
      <c r="G22" s="23"/>
      <c r="H22" s="24" t="s">
        <v>51</v>
      </c>
      <c r="I22" s="24"/>
      <c r="J22" s="24"/>
      <c r="K22" s="24"/>
      <c r="M22" s="22" t="s">
        <v>61</v>
      </c>
      <c r="N22" s="12">
        <f>vlookup(H22,data_summary_by_question!U2:V7,2, FALSE)</f>
        <v>0</v>
      </c>
      <c r="P22" s="12">
        <f>H22</f>
        <v>0</v>
      </c>
    </row>
    <row r="23" spans="1:16" ht="48" customHeight="1">
      <c r="A23" s="25" t="s">
        <v>67</v>
      </c>
      <c r="B23" s="25"/>
      <c r="C23" s="25"/>
      <c r="D23" s="25"/>
      <c r="E23" s="25"/>
      <c r="F23" s="25"/>
      <c r="G23" s="25"/>
      <c r="H23" s="26" t="s">
        <v>51</v>
      </c>
      <c r="I23" s="26"/>
      <c r="J23" s="26"/>
      <c r="K23" s="26"/>
      <c r="M23" s="26" t="s">
        <v>68</v>
      </c>
    </row>
    <row r="25" spans="1:16" ht="48" customHeight="1">
      <c r="A25" s="21" t="s">
        <v>442</v>
      </c>
      <c r="B25" s="21"/>
      <c r="C25" s="21"/>
      <c r="D25" s="21"/>
      <c r="E25" s="21"/>
      <c r="F25" s="21"/>
      <c r="G25" s="21"/>
      <c r="H25" s="20" t="s">
        <v>58</v>
      </c>
      <c r="I25" s="20"/>
      <c r="J25" s="20"/>
      <c r="K25" s="20"/>
      <c r="M25" s="22" t="s">
        <v>59</v>
      </c>
    </row>
    <row r="26" spans="1:16" ht="48" customHeight="1">
      <c r="A26" s="23" t="s">
        <v>443</v>
      </c>
      <c r="B26" s="23"/>
      <c r="C26" s="23"/>
      <c r="D26" s="23"/>
      <c r="E26" s="23"/>
      <c r="F26" s="23"/>
      <c r="G26" s="23"/>
      <c r="H26" s="24" t="s">
        <v>51</v>
      </c>
      <c r="I26" s="24"/>
      <c r="J26" s="24"/>
      <c r="K26" s="24"/>
      <c r="M26" s="22" t="s">
        <v>61</v>
      </c>
      <c r="N26" s="12">
        <f>vlookup(H26,data_summary_by_question!U2:V7,2, FALSE)</f>
        <v>0</v>
      </c>
      <c r="O26" s="12">
        <f>average(N26:N26)</f>
        <v>0</v>
      </c>
      <c r="P26" s="12">
        <f>H26</f>
        <v>0</v>
      </c>
    </row>
    <row r="27" spans="1:16" ht="48" customHeight="1">
      <c r="A27" s="25" t="s">
        <v>67</v>
      </c>
      <c r="B27" s="25"/>
      <c r="C27" s="25"/>
      <c r="D27" s="25"/>
      <c r="E27" s="25"/>
      <c r="F27" s="25"/>
      <c r="G27" s="25"/>
      <c r="H27" s="26" t="s">
        <v>51</v>
      </c>
      <c r="I27" s="26"/>
      <c r="J27" s="26"/>
      <c r="K27" s="26"/>
      <c r="M27" s="26" t="s">
        <v>68</v>
      </c>
    </row>
    <row r="29" spans="1:16" ht="48" customHeight="1">
      <c r="A29" s="21" t="s">
        <v>444</v>
      </c>
      <c r="B29" s="21"/>
      <c r="C29" s="21"/>
      <c r="D29" s="21"/>
      <c r="E29" s="21"/>
      <c r="F29" s="21"/>
      <c r="G29" s="21"/>
      <c r="H29" s="20" t="s">
        <v>58</v>
      </c>
      <c r="I29" s="20"/>
      <c r="J29" s="20"/>
      <c r="K29" s="20"/>
      <c r="M29" s="22" t="s">
        <v>59</v>
      </c>
    </row>
    <row r="30" spans="1:16" ht="48" customHeight="1">
      <c r="A30" s="23" t="s">
        <v>445</v>
      </c>
      <c r="B30" s="23"/>
      <c r="C30" s="23"/>
      <c r="D30" s="23"/>
      <c r="E30" s="23"/>
      <c r="F30" s="23"/>
      <c r="G30" s="23"/>
      <c r="H30" s="24" t="s">
        <v>51</v>
      </c>
      <c r="I30" s="24"/>
      <c r="J30" s="24"/>
      <c r="K30" s="24"/>
      <c r="M30" s="22" t="s">
        <v>61</v>
      </c>
      <c r="N30" s="12">
        <f>vlookup(H30,data_summary_by_question!U2:V7,2, FALSE)</f>
        <v>0</v>
      </c>
      <c r="O30" s="12">
        <f>average(N30:N32)</f>
        <v>0</v>
      </c>
      <c r="P30" s="12">
        <f>H30</f>
        <v>0</v>
      </c>
    </row>
    <row r="31" spans="1:16" ht="48" customHeight="1">
      <c r="A31" s="23" t="s">
        <v>446</v>
      </c>
      <c r="B31" s="23"/>
      <c r="C31" s="23"/>
      <c r="D31" s="23"/>
      <c r="E31" s="23"/>
      <c r="F31" s="23"/>
      <c r="G31" s="23"/>
      <c r="H31" s="24" t="s">
        <v>51</v>
      </c>
      <c r="I31" s="24"/>
      <c r="J31" s="24"/>
      <c r="K31" s="24"/>
      <c r="M31" s="22" t="s">
        <v>61</v>
      </c>
      <c r="N31" s="12">
        <f>vlookup(H31,data_summary_by_question!U2:V7,2, FALSE)</f>
        <v>0</v>
      </c>
      <c r="P31" s="12">
        <f>H31</f>
        <v>0</v>
      </c>
    </row>
    <row r="32" spans="1:16" ht="48" customHeight="1">
      <c r="A32" s="23" t="s">
        <v>447</v>
      </c>
      <c r="B32" s="23"/>
      <c r="C32" s="23"/>
      <c r="D32" s="23"/>
      <c r="E32" s="23"/>
      <c r="F32" s="23"/>
      <c r="G32" s="23"/>
      <c r="H32" s="24" t="s">
        <v>51</v>
      </c>
      <c r="I32" s="24"/>
      <c r="J32" s="24"/>
      <c r="K32" s="24"/>
      <c r="M32" s="22" t="s">
        <v>61</v>
      </c>
      <c r="N32" s="12">
        <f>vlookup(H32,data_summary_by_question!U2:V7,2, FALSE)</f>
        <v>0</v>
      </c>
      <c r="P32" s="12">
        <f>H32</f>
        <v>0</v>
      </c>
    </row>
    <row r="33" spans="1:16" ht="48" customHeight="1">
      <c r="A33" s="25" t="s">
        <v>67</v>
      </c>
      <c r="B33" s="25"/>
      <c r="C33" s="25"/>
      <c r="D33" s="25"/>
      <c r="E33" s="25"/>
      <c r="F33" s="25"/>
      <c r="G33" s="25"/>
      <c r="H33" s="26" t="s">
        <v>51</v>
      </c>
      <c r="I33" s="26"/>
      <c r="J33" s="26"/>
      <c r="K33" s="26"/>
      <c r="M33" s="26" t="s">
        <v>68</v>
      </c>
    </row>
    <row r="35" spans="1:16" ht="48" customHeight="1">
      <c r="A35" s="21" t="s">
        <v>448</v>
      </c>
      <c r="B35" s="21"/>
      <c r="C35" s="21"/>
      <c r="D35" s="21"/>
      <c r="E35" s="21"/>
      <c r="F35" s="21"/>
      <c r="G35" s="21"/>
      <c r="H35" s="20" t="s">
        <v>58</v>
      </c>
      <c r="I35" s="20"/>
      <c r="J35" s="20"/>
      <c r="K35" s="20"/>
      <c r="M35" s="22" t="s">
        <v>59</v>
      </c>
    </row>
    <row r="36" spans="1:16" ht="48" customHeight="1">
      <c r="A36" s="23" t="s">
        <v>449</v>
      </c>
      <c r="B36" s="23"/>
      <c r="C36" s="23"/>
      <c r="D36" s="23"/>
      <c r="E36" s="23"/>
      <c r="F36" s="23"/>
      <c r="G36" s="23"/>
      <c r="H36" s="24" t="s">
        <v>51</v>
      </c>
      <c r="I36" s="24"/>
      <c r="J36" s="24"/>
      <c r="K36" s="24"/>
      <c r="M36" s="22" t="s">
        <v>61</v>
      </c>
      <c r="N36" s="12">
        <f>vlookup(H36,data_summary_by_question!U2:V7,2, FALSE)</f>
        <v>0</v>
      </c>
      <c r="O36" s="12">
        <f>average(N36:N38)</f>
        <v>0</v>
      </c>
      <c r="P36" s="12">
        <f>H36</f>
        <v>0</v>
      </c>
    </row>
    <row r="37" spans="1:16" ht="48" customHeight="1">
      <c r="A37" s="23" t="s">
        <v>450</v>
      </c>
      <c r="B37" s="23"/>
      <c r="C37" s="23"/>
      <c r="D37" s="23"/>
      <c r="E37" s="23"/>
      <c r="F37" s="23"/>
      <c r="G37" s="23"/>
      <c r="H37" s="24" t="s">
        <v>51</v>
      </c>
      <c r="I37" s="24"/>
      <c r="J37" s="24"/>
      <c r="K37" s="24"/>
      <c r="M37" s="22" t="s">
        <v>61</v>
      </c>
      <c r="N37" s="12">
        <f>vlookup(H37,data_summary_by_question!U2:V7,2, FALSE)</f>
        <v>0</v>
      </c>
      <c r="P37" s="12">
        <f>H37</f>
        <v>0</v>
      </c>
    </row>
    <row r="38" spans="1:16" ht="48" customHeight="1">
      <c r="A38" s="23" t="s">
        <v>451</v>
      </c>
      <c r="B38" s="23"/>
      <c r="C38" s="23"/>
      <c r="D38" s="23"/>
      <c r="E38" s="23"/>
      <c r="F38" s="23"/>
      <c r="G38" s="23"/>
      <c r="H38" s="24" t="s">
        <v>51</v>
      </c>
      <c r="I38" s="24"/>
      <c r="J38" s="24"/>
      <c r="K38" s="24"/>
      <c r="M38" s="22" t="s">
        <v>61</v>
      </c>
      <c r="N38" s="12">
        <f>vlookup(H38,data_summary_by_question!U2:V7,2, FALSE)</f>
        <v>0</v>
      </c>
      <c r="P38" s="12">
        <f>H38</f>
        <v>0</v>
      </c>
    </row>
    <row r="39" spans="1:16" ht="48" customHeight="1">
      <c r="A39" s="25" t="s">
        <v>67</v>
      </c>
      <c r="B39" s="25"/>
      <c r="C39" s="25"/>
      <c r="D39" s="25"/>
      <c r="E39" s="25"/>
      <c r="F39" s="25"/>
      <c r="G39" s="25"/>
      <c r="H39" s="26" t="s">
        <v>51</v>
      </c>
      <c r="I39" s="26"/>
      <c r="J39" s="26"/>
      <c r="K39" s="26"/>
      <c r="M39" s="26" t="s">
        <v>68</v>
      </c>
    </row>
    <row r="41" spans="1:16" ht="48" customHeight="1">
      <c r="A41" s="21" t="s">
        <v>452</v>
      </c>
      <c r="B41" s="21"/>
      <c r="C41" s="21"/>
      <c r="D41" s="21"/>
      <c r="E41" s="21"/>
      <c r="F41" s="21"/>
      <c r="G41" s="21"/>
      <c r="H41" s="20" t="s">
        <v>58</v>
      </c>
      <c r="I41" s="20"/>
      <c r="J41" s="20"/>
      <c r="K41" s="20"/>
      <c r="M41" s="22" t="s">
        <v>59</v>
      </c>
    </row>
    <row r="42" spans="1:16" ht="48" customHeight="1">
      <c r="A42" s="23" t="s">
        <v>453</v>
      </c>
      <c r="B42" s="23"/>
      <c r="C42" s="23"/>
      <c r="D42" s="23"/>
      <c r="E42" s="23"/>
      <c r="F42" s="23"/>
      <c r="G42" s="23"/>
      <c r="H42" s="24" t="s">
        <v>51</v>
      </c>
      <c r="I42" s="24"/>
      <c r="J42" s="24"/>
      <c r="K42" s="24"/>
      <c r="M42" s="22" t="s">
        <v>61</v>
      </c>
      <c r="N42" s="12">
        <f>vlookup(H42,data_summary_by_question!U2:V7,2, FALSE)</f>
        <v>0</v>
      </c>
      <c r="O42" s="12">
        <f>average(N42:N44)</f>
        <v>0</v>
      </c>
      <c r="P42" s="12">
        <f>H42</f>
        <v>0</v>
      </c>
    </row>
    <row r="43" spans="1:16" ht="48" customHeight="1">
      <c r="A43" s="23" t="s">
        <v>454</v>
      </c>
      <c r="B43" s="23"/>
      <c r="C43" s="23"/>
      <c r="D43" s="23"/>
      <c r="E43" s="23"/>
      <c r="F43" s="23"/>
      <c r="G43" s="23"/>
      <c r="H43" s="24" t="s">
        <v>51</v>
      </c>
      <c r="I43" s="24"/>
      <c r="J43" s="24"/>
      <c r="K43" s="24"/>
      <c r="M43" s="22" t="s">
        <v>61</v>
      </c>
      <c r="N43" s="12">
        <f>vlookup(H43,data_summary_by_question!U2:V7,2, FALSE)</f>
        <v>0</v>
      </c>
      <c r="P43" s="12">
        <f>H43</f>
        <v>0</v>
      </c>
    </row>
    <row r="44" spans="1:16" ht="48" customHeight="1">
      <c r="A44" s="23" t="s">
        <v>455</v>
      </c>
      <c r="B44" s="23"/>
      <c r="C44" s="23"/>
      <c r="D44" s="23"/>
      <c r="E44" s="23"/>
      <c r="F44" s="23"/>
      <c r="G44" s="23"/>
      <c r="H44" s="24" t="s">
        <v>51</v>
      </c>
      <c r="I44" s="24"/>
      <c r="J44" s="24"/>
      <c r="K44" s="24"/>
      <c r="M44" s="22" t="s">
        <v>61</v>
      </c>
      <c r="N44" s="12">
        <f>vlookup(H44,data_summary_by_question!U2:V7,2, FALSE)</f>
        <v>0</v>
      </c>
      <c r="P44" s="12">
        <f>H44</f>
        <v>0</v>
      </c>
    </row>
    <row r="45" spans="1:16" ht="48" customHeight="1">
      <c r="A45" s="25" t="s">
        <v>67</v>
      </c>
      <c r="B45" s="25"/>
      <c r="C45" s="25"/>
      <c r="D45" s="25"/>
      <c r="E45" s="25"/>
      <c r="F45" s="25"/>
      <c r="G45" s="25"/>
      <c r="H45" s="26" t="s">
        <v>51</v>
      </c>
      <c r="I45" s="26"/>
      <c r="J45" s="26"/>
      <c r="K45" s="26"/>
      <c r="M45" s="26" t="s">
        <v>68</v>
      </c>
    </row>
    <row r="47" spans="1:16" ht="48" customHeight="1">
      <c r="A47" s="21" t="s">
        <v>456</v>
      </c>
      <c r="B47" s="21"/>
      <c r="C47" s="21"/>
      <c r="D47" s="21"/>
      <c r="E47" s="21"/>
      <c r="F47" s="21"/>
      <c r="G47" s="21"/>
      <c r="H47" s="20" t="s">
        <v>58</v>
      </c>
      <c r="I47" s="20"/>
      <c r="J47" s="20"/>
      <c r="K47" s="20"/>
      <c r="M47" s="22" t="s">
        <v>59</v>
      </c>
    </row>
    <row r="48" spans="1:16" ht="48" customHeight="1">
      <c r="A48" s="23" t="s">
        <v>457</v>
      </c>
      <c r="B48" s="23"/>
      <c r="C48" s="23"/>
      <c r="D48" s="23"/>
      <c r="E48" s="23"/>
      <c r="F48" s="23"/>
      <c r="G48" s="23"/>
      <c r="H48" s="24" t="s">
        <v>51</v>
      </c>
      <c r="I48" s="24"/>
      <c r="J48" s="24"/>
      <c r="K48" s="24"/>
      <c r="M48" s="22" t="s">
        <v>61</v>
      </c>
      <c r="N48" s="12">
        <f>vlookup(H48,data_summary_by_question!U2:V7,2, FALSE)</f>
        <v>0</v>
      </c>
      <c r="O48" s="12">
        <f>average(N48:N49)</f>
        <v>0</v>
      </c>
      <c r="P48" s="12">
        <f>H48</f>
        <v>0</v>
      </c>
    </row>
    <row r="49" spans="1:16" ht="48" customHeight="1">
      <c r="A49" s="23" t="s">
        <v>458</v>
      </c>
      <c r="B49" s="23"/>
      <c r="C49" s="23"/>
      <c r="D49" s="23"/>
      <c r="E49" s="23"/>
      <c r="F49" s="23"/>
      <c r="G49" s="23"/>
      <c r="H49" s="24" t="s">
        <v>51</v>
      </c>
      <c r="I49" s="24"/>
      <c r="J49" s="24"/>
      <c r="K49" s="24"/>
      <c r="M49" s="22" t="s">
        <v>61</v>
      </c>
      <c r="N49" s="12">
        <f>vlookup(H49,data_summary_by_question!U2:V7,2, FALSE)</f>
        <v>0</v>
      </c>
      <c r="P49" s="12">
        <f>H49</f>
        <v>0</v>
      </c>
    </row>
    <row r="50" spans="1:16" ht="48" customHeight="1">
      <c r="A50" s="25" t="s">
        <v>67</v>
      </c>
      <c r="B50" s="25"/>
      <c r="C50" s="25"/>
      <c r="D50" s="25"/>
      <c r="E50" s="25"/>
      <c r="F50" s="25"/>
      <c r="G50" s="25"/>
      <c r="H50" s="26" t="s">
        <v>51</v>
      </c>
      <c r="I50" s="26"/>
      <c r="J50" s="26"/>
      <c r="K50" s="26"/>
      <c r="M50" s="26" t="s">
        <v>68</v>
      </c>
    </row>
    <row r="53" spans="1:16" ht="48" customHeight="1">
      <c r="A53" s="25" t="s">
        <v>154</v>
      </c>
      <c r="B53" s="25"/>
      <c r="C53" s="25"/>
      <c r="D53" s="25"/>
      <c r="E53" s="25"/>
      <c r="F53" s="25"/>
      <c r="G53" s="25"/>
      <c r="H53" s="26" t="s">
        <v>51</v>
      </c>
      <c r="I53" s="26"/>
      <c r="J53" s="26"/>
      <c r="K53" s="26"/>
      <c r="M53" s="26" t="s">
        <v>61</v>
      </c>
    </row>
    <row r="55" spans="1:16" ht="48" customHeight="1">
      <c r="A55" s="25" t="s">
        <v>155</v>
      </c>
      <c r="B55" s="25"/>
      <c r="C55" s="25"/>
      <c r="D55" s="25"/>
      <c r="E55" s="25"/>
      <c r="F55" s="25"/>
      <c r="G55" s="25"/>
      <c r="H55" s="26" t="s">
        <v>51</v>
      </c>
      <c r="I55" s="26"/>
      <c r="J55" s="26"/>
      <c r="K55" s="26"/>
      <c r="M55" s="26" t="s">
        <v>61</v>
      </c>
    </row>
    <row r="57" spans="1:16" ht="48" customHeight="1">
      <c r="A57" s="25" t="s">
        <v>156</v>
      </c>
      <c r="B57" s="25"/>
      <c r="C57" s="25"/>
      <c r="D57" s="25"/>
      <c r="E57" s="25"/>
      <c r="F57" s="25"/>
      <c r="G57" s="25"/>
      <c r="H57" s="26" t="s">
        <v>51</v>
      </c>
      <c r="I57" s="26"/>
      <c r="J57" s="26"/>
      <c r="K57" s="26"/>
      <c r="M57" s="26" t="s">
        <v>61</v>
      </c>
    </row>
    <row r="61" spans="1:16" s="12" customFormat="1">
      <c r="A61" s="12" t="s">
        <v>157</v>
      </c>
      <c r="B61" s="12" t="s">
        <v>158</v>
      </c>
      <c r="C61" s="12" t="s">
        <v>159</v>
      </c>
    </row>
    <row r="62" spans="1:16" s="12" customFormat="1">
      <c r="A62" s="12" t="s">
        <v>46</v>
      </c>
      <c r="B62" s="12">
        <f>COUNTIF(P12:P50,A62)</f>
        <v>0</v>
      </c>
      <c r="C62" s="12">
        <f>B62/ B69</f>
        <v>0</v>
      </c>
    </row>
    <row r="63" spans="1:16" s="12" customFormat="1">
      <c r="A63" s="12" t="s">
        <v>47</v>
      </c>
      <c r="B63" s="12">
        <f>COUNTIF(P12:P50,A63)</f>
        <v>0</v>
      </c>
      <c r="C63" s="12">
        <f>B63/ B69</f>
        <v>0</v>
      </c>
    </row>
    <row r="64" spans="1:16" s="12" customFormat="1">
      <c r="A64" s="12" t="s">
        <v>48</v>
      </c>
      <c r="B64" s="12">
        <f>COUNTIF(P12:P50,A64)</f>
        <v>0</v>
      </c>
      <c r="C64" s="12">
        <f>B64/ B69</f>
        <v>0</v>
      </c>
    </row>
    <row r="65" spans="1:3" s="12" customFormat="1">
      <c r="A65" s="12" t="s">
        <v>49</v>
      </c>
      <c r="B65" s="12">
        <f>COUNTIF(P12:P50,A65)</f>
        <v>0</v>
      </c>
      <c r="C65" s="12">
        <f>B65/ B69</f>
        <v>0</v>
      </c>
    </row>
    <row r="66" spans="1:3" s="12" customFormat="1">
      <c r="A66" s="12" t="s">
        <v>50</v>
      </c>
      <c r="B66" s="12">
        <f>COUNTIF(P12:P50,A66)</f>
        <v>0</v>
      </c>
      <c r="C66" s="12">
        <f>B66/ B69</f>
        <v>0</v>
      </c>
    </row>
    <row r="67" spans="1:3" s="12" customFormat="1">
      <c r="A67" s="12" t="s">
        <v>51</v>
      </c>
      <c r="B67" s="12">
        <f>COUNTIF(P12:P50,A67)</f>
        <v>0</v>
      </c>
      <c r="C67" s="12">
        <f>B67/ B69</f>
        <v>0</v>
      </c>
    </row>
    <row r="68" spans="1:3" s="12" customFormat="1"/>
    <row r="69" spans="1:3" s="12" customFormat="1">
      <c r="A69" s="12" t="s">
        <v>160</v>
      </c>
      <c r="B69" s="12">
        <f>SUM(B62:B67)</f>
        <v>0</v>
      </c>
    </row>
    <row r="70" spans="1:3" s="12" customFormat="1"/>
    <row r="71" spans="1:3" s="12" customFormat="1">
      <c r="A71" s="12" t="s">
        <v>161</v>
      </c>
    </row>
    <row r="72" spans="1:3" s="12" customFormat="1">
      <c r="A72" s="12" t="s">
        <v>162</v>
      </c>
      <c r="B72" s="12">
        <f>countifs(O12:O50,"&gt;=1.0", O12:O50,"&lt;=1.0")</f>
        <v>0</v>
      </c>
    </row>
    <row r="73" spans="1:3" s="12" customFormat="1">
      <c r="A73" s="12" t="s">
        <v>163</v>
      </c>
      <c r="B73" s="12">
        <f>countifs(O12:O50,"&gt;=0.75", O12:O50,"&lt;=0.99")</f>
        <v>0</v>
      </c>
    </row>
    <row r="74" spans="1:3" s="12" customFormat="1">
      <c r="A74" s="12" t="s">
        <v>164</v>
      </c>
      <c r="B74" s="12">
        <f>countifs(O12:O50,"&gt;=0.5", O12:O50,"&lt;=0.74")</f>
        <v>0</v>
      </c>
    </row>
    <row r="75" spans="1:3" s="12" customFormat="1">
      <c r="A75" s="12" t="s">
        <v>165</v>
      </c>
      <c r="B75" s="12">
        <f>countifs(O12:O50,"&gt;=0.25", O12:O50,"&lt;=0.49")</f>
        <v>0</v>
      </c>
    </row>
    <row r="76" spans="1:3" s="12" customFormat="1">
      <c r="A76" s="12" t="s">
        <v>166</v>
      </c>
      <c r="B76" s="12">
        <f>countifs(O12:O50,"&gt;=0.0", O12:O50,"&lt;=0.24")</f>
        <v>0</v>
      </c>
    </row>
    <row r="77" spans="1:3" s="12" customFormat="1"/>
    <row r="78" spans="1:3" s="12" customFormat="1">
      <c r="A78" s="12" t="s">
        <v>160</v>
      </c>
      <c r="B78" s="12">
        <f>SUM(B72:B76)</f>
        <v>0</v>
      </c>
    </row>
  </sheetData>
  <sheetProtection password="E4E4" sheet="1" objects="1" scenarios="1"/>
  <mergeCells count="97">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5:G15"/>
    <mergeCell ref="H15:K15"/>
    <mergeCell ref="A16:G16"/>
    <mergeCell ref="H16:K16"/>
    <mergeCell ref="A17:G17"/>
    <mergeCell ref="H17:K17"/>
    <mergeCell ref="A18:G18"/>
    <mergeCell ref="H18:K18"/>
    <mergeCell ref="A20:G20"/>
    <mergeCell ref="H20:K20"/>
    <mergeCell ref="A21:G21"/>
    <mergeCell ref="H21:K21"/>
    <mergeCell ref="A22:G22"/>
    <mergeCell ref="H22:K22"/>
    <mergeCell ref="A23:G23"/>
    <mergeCell ref="H23:K23"/>
    <mergeCell ref="A25:G25"/>
    <mergeCell ref="H25:K25"/>
    <mergeCell ref="A26:G26"/>
    <mergeCell ref="H26:K26"/>
    <mergeCell ref="A27:G27"/>
    <mergeCell ref="H27:K27"/>
    <mergeCell ref="A29:G29"/>
    <mergeCell ref="H29:K29"/>
    <mergeCell ref="A30:G30"/>
    <mergeCell ref="H30:K30"/>
    <mergeCell ref="A31:G31"/>
    <mergeCell ref="H31:K31"/>
    <mergeCell ref="A32:G32"/>
    <mergeCell ref="H32:K32"/>
    <mergeCell ref="A33:G33"/>
    <mergeCell ref="H33:K33"/>
    <mergeCell ref="A35:G35"/>
    <mergeCell ref="H35:K35"/>
    <mergeCell ref="A36:G36"/>
    <mergeCell ref="H36:K36"/>
    <mergeCell ref="A37:G37"/>
    <mergeCell ref="H37:K37"/>
    <mergeCell ref="A38:G38"/>
    <mergeCell ref="H38:K38"/>
    <mergeCell ref="A39:G39"/>
    <mergeCell ref="H39:K39"/>
    <mergeCell ref="A41:G41"/>
    <mergeCell ref="H41:K41"/>
    <mergeCell ref="A42:G42"/>
    <mergeCell ref="H42:K42"/>
    <mergeCell ref="A43:G43"/>
    <mergeCell ref="H43:K43"/>
    <mergeCell ref="A44:G44"/>
    <mergeCell ref="H44:K44"/>
    <mergeCell ref="A45:G45"/>
    <mergeCell ref="H45:K45"/>
    <mergeCell ref="A47:G47"/>
    <mergeCell ref="H47:K47"/>
    <mergeCell ref="A48:G48"/>
    <mergeCell ref="H48:K48"/>
    <mergeCell ref="A49:G49"/>
    <mergeCell ref="H49:K49"/>
    <mergeCell ref="A50:G50"/>
    <mergeCell ref="H50:K50"/>
    <mergeCell ref="A53:G53"/>
    <mergeCell ref="H53:K53"/>
    <mergeCell ref="A55:G55"/>
    <mergeCell ref="H55:K55"/>
    <mergeCell ref="A57:G57"/>
    <mergeCell ref="H57:K57"/>
  </mergeCells>
  <dataValidations count="30">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"Yes,It Does Not Apply,Partially,I Have Done An Alternative Approach,No,No Answer"</formula1>
    </dataValidation>
    <dataValidation type="list" allowBlank="1" showInputMessage="1" showErrorMessage="1" sqref="H15">
      <formula1>"Yes,It Does Not Apply,Partially,I Have Done An Alternative Approach,No,No Answer"</formula1>
    </dataValidation>
    <dataValidation type="list" allowBlank="1" showInputMessage="1" showErrorMessage="1" sqref="H16">
      <formula1>"Yes,It Does Not Apply,Partially,I Have Done An Alternative Approach,No,No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"Completed,Partially Completed,Not Yet Started,No Answer"</formula1>
    </dataValidation>
    <dataValidation type="list" allowBlank="1" showInputMessage="1" showErrorMessage="1" sqref="H21">
      <formula1>"Yes,It Does Not Apply,Partially,I Have Done An Alternative Approach,No,No Answer"</formula1>
    </dataValidation>
    <dataValidation type="list" allowBlank="1" showInputMessage="1" showErrorMessage="1" sqref="H22">
      <formula1>"Yes,It Does Not Apply,Partially,I Have Done An Alternative Approach,No,No Answer"</formula1>
    </dataValidation>
    <dataValidation type="list" allowBlank="1" showInputMessage="1" showErrorMessage="1" sqref="H23">
      <formula1>"Completed,Partially Completed,Not Yet Started,No Answer"</formula1>
    </dataValidation>
    <dataValidation type="list" allowBlank="1" showInputMessage="1" showErrorMessage="1" sqref="H26">
      <formula1>"Yes,It Does Not Apply,Partially,I Have Done An Alternative Approach,No,No Answer"</formula1>
    </dataValidation>
    <dataValidation type="list" allowBlank="1" showInputMessage="1" showErrorMessage="1" sqref="H27">
      <formula1>"Completed,Partially Completed,Not Yet Started,No Answer"</formula1>
    </dataValidation>
    <dataValidation type="list" allowBlank="1" showInputMessage="1" showErrorMessage="1" sqref="H30">
      <formula1>"Yes,It Does Not Apply,Partially,I Have Done An Alternative Approach,No,No Answer"</formula1>
    </dataValidation>
    <dataValidation type="list" allowBlank="1" showInputMessage="1" showErrorMessage="1" sqref="H31">
      <formula1>"Yes,It Does Not Apply,Partially,I Have Done An Alternative Approach,No,No Answer"</formula1>
    </dataValidation>
    <dataValidation type="list" allowBlank="1" showInputMessage="1" showErrorMessage="1" sqref="H32">
      <formula1>"Yes,It Does Not Apply,Partially,I Have Done An Alternative Approach,No,No Answer"</formula1>
    </dataValidation>
    <dataValidation type="list" allowBlank="1" showInputMessage="1" showErrorMessage="1" sqref="H33">
      <formula1>"Completed,Partially Completed,Not Yet Started,No Answer"</formula1>
    </dataValidation>
    <dataValidation type="list" allowBlank="1" showInputMessage="1" showErrorMessage="1" sqref="H36">
      <formula1>"Yes,It Does Not Apply,Partially,I Have Done An Alternative Approach,No,No Answer"</formula1>
    </dataValidation>
    <dataValidation type="list" allowBlank="1" showInputMessage="1" showErrorMessage="1" sqref="H37">
      <formula1>"Yes,It Does Not Apply,Partially,I Have Done An Alternative Approach,No,No Answer"</formula1>
    </dataValidation>
    <dataValidation type="list" allowBlank="1" showInputMessage="1" showErrorMessage="1" sqref="H38">
      <formula1>"Yes,It Does Not Apply,Partially,I Have Done An Alternative Approach,No,No Answer"</formula1>
    </dataValidation>
    <dataValidation type="list" allowBlank="1" showInputMessage="1" showErrorMessage="1" sqref="H39">
      <formula1>"Completed,Partially Completed,Not Yet Started,No Answer"</formula1>
    </dataValidation>
    <dataValidation type="list" allowBlank="1" showInputMessage="1" showErrorMessage="1" sqref="H42">
      <formula1>"Yes,It Does Not Apply,Partially,I Have Done An Alternative Approach,No,No Answer"</formula1>
    </dataValidation>
    <dataValidation type="list" allowBlank="1" showInputMessage="1" showErrorMessage="1" sqref="H43">
      <formula1>"Yes,It Does Not Apply,Partially,I Have Done An Alternative Approach,No,No Answer"</formula1>
    </dataValidation>
    <dataValidation type="list" allowBlank="1" showInputMessage="1" showErrorMessage="1" sqref="H44">
      <formula1>"Yes,It Does Not Apply,Partially,I Have Done An Alternative Approach,No,No Answer"</formula1>
    </dataValidation>
    <dataValidation type="list" allowBlank="1" showInputMessage="1" showErrorMessage="1" sqref="H45">
      <formula1>"Completed,Partially Completed,Not Yet Started,No Answer"</formula1>
    </dataValidation>
    <dataValidation type="list" allowBlank="1" showInputMessage="1" showErrorMessage="1" sqref="H48">
      <formula1>"Yes,It Does Not Apply,Partially,I Have Done An Alternative Approach,No,No Answer"</formula1>
    </dataValidation>
    <dataValidation type="list" allowBlank="1" showInputMessage="1" showErrorMessage="1" sqref="H49">
      <formula1>"Yes,It Does Not Apply,Partially,I Have Done An Alternative Approach,No,No Answer"</formula1>
    </dataValidation>
    <dataValidation type="list" allowBlank="1" showInputMessage="1" showErrorMessage="1" sqref="H50">
      <formula1>"Completed,Partially Completed,Not Yet Started,No Answer"</formula1>
    </dataValidation>
    <dataValidation type="list" allowBlank="1" showInputMessage="1" showErrorMessage="1" sqref="H53">
      <formula1>"Completed,Partially Completed,Not Yet Started,No Answer"</formula1>
    </dataValidation>
    <dataValidation type="list" allowBlank="1" showInputMessage="1" showErrorMessage="1" sqref="H55">
      <formula1>"Completed,Partially Completed,Not Yet Started,No Answer"</formula1>
    </dataValidation>
    <dataValidation type="list" allowBlank="1" showInputMessage="1" showErrorMessage="1" sqref="H57">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20" r:id="rId2"/>
    <hyperlink ref="A25" r:id="rId3"/>
    <hyperlink ref="A29" r:id="rId4"/>
    <hyperlink ref="A35" r:id="rId5"/>
    <hyperlink ref="A41" r:id="rId6"/>
    <hyperlink ref="A47" r:id="rId7"/>
  </hyperlinks>
  <pageMargins left="0.7" right="0.7" top="0.75" bottom="0.75" header="0.3" footer="0.3"/>
  <drawing r:id="rId8"/>
</worksheet>
</file>

<file path=xl/worksheets/sheet15.xml><?xml version="1.0" encoding="utf-8"?>
<worksheet xmlns="http://schemas.openxmlformats.org/spreadsheetml/2006/main" xmlns:r="http://schemas.openxmlformats.org/officeDocument/2006/relationships">
  <dimension ref="A1:P126"/>
  <sheetViews>
    <sheetView showGridLines="0" workbookViewId="0"/>
  </sheetViews>
  <sheetFormatPr defaultRowHeight="15"/>
  <cols>
    <col min="12" max="12" width="3.7109375" customWidth="1"/>
    <col min="13" max="13" width="61.7109375" customWidth="1"/>
    <col min="14" max="16" width="9.140625" style="12"/>
  </cols>
  <sheetData>
    <row r="1" spans="1:16">
      <c r="A1" s="13" t="s">
        <v>459</v>
      </c>
      <c r="B1" s="13"/>
      <c r="C1" s="13"/>
      <c r="D1" s="13"/>
      <c r="E1" s="13"/>
      <c r="F1" s="13"/>
      <c r="G1" s="13"/>
      <c r="H1" s="13"/>
      <c r="I1" s="13"/>
      <c r="J1" s="13"/>
      <c r="K1" s="13"/>
      <c r="M1" s="14" t="s">
        <v>38</v>
      </c>
    </row>
    <row r="2" spans="1:16">
      <c r="A2" s="15" t="s">
        <v>39</v>
      </c>
      <c r="B2" s="16" t="s">
        <v>40</v>
      </c>
      <c r="C2" s="16"/>
      <c r="D2" s="16"/>
      <c r="E2" s="16" t="s">
        <v>41</v>
      </c>
      <c r="F2" s="16"/>
      <c r="G2" s="16"/>
      <c r="H2" s="16" t="s">
        <v>42</v>
      </c>
      <c r="I2" s="16"/>
      <c r="J2" s="16"/>
    </row>
    <row r="3" spans="1:16">
      <c r="A3" s="17"/>
      <c r="B3" s="17" t="s">
        <v>43</v>
      </c>
      <c r="C3" s="17"/>
      <c r="D3" s="17"/>
      <c r="E3" s="17" t="s">
        <v>46</v>
      </c>
      <c r="F3" s="17"/>
      <c r="G3" s="17"/>
      <c r="H3" s="17" t="s">
        <v>52</v>
      </c>
      <c r="I3" s="17"/>
      <c r="J3" s="17"/>
    </row>
    <row r="4" spans="1:16">
      <c r="A4" s="18"/>
      <c r="B4" s="18" t="s">
        <v>44</v>
      </c>
      <c r="C4" s="18"/>
      <c r="D4" s="18"/>
      <c r="E4" s="18" t="s">
        <v>47</v>
      </c>
      <c r="F4" s="18"/>
      <c r="G4" s="18"/>
      <c r="H4" s="18" t="s">
        <v>53</v>
      </c>
      <c r="I4" s="18"/>
      <c r="J4" s="18"/>
    </row>
    <row r="5" spans="1:16">
      <c r="A5" s="18"/>
      <c r="B5" s="18" t="s">
        <v>2</v>
      </c>
      <c r="C5" s="18"/>
      <c r="D5" s="18"/>
      <c r="E5" s="18" t="s">
        <v>48</v>
      </c>
      <c r="F5" s="18"/>
      <c r="G5" s="18"/>
      <c r="H5" s="18" t="s">
        <v>54</v>
      </c>
      <c r="I5" s="18"/>
      <c r="J5" s="18"/>
    </row>
    <row r="6" spans="1:16">
      <c r="A6" s="18"/>
      <c r="B6" s="18" t="s">
        <v>45</v>
      </c>
      <c r="C6" s="18"/>
      <c r="D6" s="18"/>
      <c r="E6" s="18" t="s">
        <v>49</v>
      </c>
      <c r="F6" s="18"/>
      <c r="G6" s="18"/>
      <c r="H6" s="18" t="s">
        <v>51</v>
      </c>
      <c r="I6" s="18"/>
      <c r="J6" s="18"/>
    </row>
    <row r="7" spans="1:16">
      <c r="A7" s="18"/>
      <c r="B7" s="18"/>
      <c r="C7" s="18"/>
      <c r="D7" s="18"/>
      <c r="E7" s="18" t="s">
        <v>50</v>
      </c>
      <c r="F7" s="18"/>
      <c r="G7" s="18"/>
      <c r="H7" s="18"/>
      <c r="I7" s="18"/>
      <c r="J7" s="18"/>
    </row>
    <row r="8" spans="1:16">
      <c r="A8" s="19"/>
      <c r="B8" s="19"/>
      <c r="C8" s="19"/>
      <c r="D8" s="19"/>
      <c r="E8" s="19" t="s">
        <v>51</v>
      </c>
      <c r="F8" s="19"/>
      <c r="G8" s="19"/>
      <c r="H8" s="19"/>
      <c r="I8" s="19"/>
      <c r="J8" s="19"/>
    </row>
    <row r="10" spans="1:16">
      <c r="A10" s="20" t="s">
        <v>55</v>
      </c>
      <c r="B10" s="20"/>
      <c r="C10" s="20"/>
      <c r="D10" s="20"/>
      <c r="E10" s="20"/>
      <c r="F10" s="20"/>
      <c r="G10" s="20"/>
      <c r="H10" s="20"/>
      <c r="I10" s="20"/>
      <c r="J10" s="20"/>
      <c r="K10" s="20"/>
      <c r="M10" s="20" t="s">
        <v>56</v>
      </c>
    </row>
    <row r="11" spans="1:16" ht="48" customHeight="1">
      <c r="A11" s="21" t="s">
        <v>460</v>
      </c>
      <c r="B11" s="21"/>
      <c r="C11" s="21"/>
      <c r="D11" s="21"/>
      <c r="E11" s="21"/>
      <c r="F11" s="21"/>
      <c r="G11" s="21"/>
      <c r="H11" s="20" t="s">
        <v>58</v>
      </c>
      <c r="I11" s="20"/>
      <c r="J11" s="20"/>
      <c r="K11" s="20"/>
      <c r="M11" s="22" t="s">
        <v>59</v>
      </c>
    </row>
    <row r="12" spans="1:16" ht="48" customHeight="1">
      <c r="A12" s="23" t="s">
        <v>461</v>
      </c>
      <c r="B12" s="23"/>
      <c r="C12" s="23"/>
      <c r="D12" s="23"/>
      <c r="E12" s="23"/>
      <c r="F12" s="23"/>
      <c r="G12" s="23"/>
      <c r="H12" s="24" t="s">
        <v>51</v>
      </c>
      <c r="I12" s="24"/>
      <c r="J12" s="24"/>
      <c r="K12" s="24"/>
      <c r="M12" s="22" t="s">
        <v>61</v>
      </c>
      <c r="N12" s="12">
        <f>vlookup(H12,data_summary_by_question!U2:V7,2, FALSE)</f>
        <v>0</v>
      </c>
      <c r="O12" s="12">
        <f>average(N12:N19)</f>
        <v>0</v>
      </c>
      <c r="P12" s="12">
        <f>H12</f>
        <v>0</v>
      </c>
    </row>
    <row r="13" spans="1:16" ht="48" customHeight="1">
      <c r="A13" s="23" t="s">
        <v>462</v>
      </c>
      <c r="B13" s="23"/>
      <c r="C13" s="23"/>
      <c r="D13" s="23"/>
      <c r="E13" s="23"/>
      <c r="F13" s="23"/>
      <c r="G13" s="23"/>
      <c r="H13" s="24" t="s">
        <v>51</v>
      </c>
      <c r="I13" s="24"/>
      <c r="J13" s="24"/>
      <c r="K13" s="24"/>
      <c r="M13" s="22" t="s">
        <v>61</v>
      </c>
      <c r="N13" s="12">
        <f>vlookup(H13,data_summary_by_question!U2:V7,2, FALSE)</f>
        <v>0</v>
      </c>
      <c r="P13" s="12">
        <f>H13</f>
        <v>0</v>
      </c>
    </row>
    <row r="14" spans="1:16" ht="48" customHeight="1">
      <c r="A14" s="23" t="s">
        <v>463</v>
      </c>
      <c r="B14" s="23"/>
      <c r="C14" s="23"/>
      <c r="D14" s="23"/>
      <c r="E14" s="23"/>
      <c r="F14" s="23"/>
      <c r="G14" s="23"/>
      <c r="H14" s="24" t="s">
        <v>51</v>
      </c>
      <c r="I14" s="24"/>
      <c r="J14" s="24"/>
      <c r="K14" s="24"/>
      <c r="M14" s="22" t="s">
        <v>61</v>
      </c>
      <c r="N14" s="12">
        <f>vlookup(H14,data_summary_by_question!U2:V7,2, FALSE)</f>
        <v>0</v>
      </c>
      <c r="P14" s="12">
        <f>H14</f>
        <v>0</v>
      </c>
    </row>
    <row r="15" spans="1:16" ht="48" customHeight="1">
      <c r="A15" s="23" t="s">
        <v>464</v>
      </c>
      <c r="B15" s="23"/>
      <c r="C15" s="23"/>
      <c r="D15" s="23"/>
      <c r="E15" s="23"/>
      <c r="F15" s="23"/>
      <c r="G15" s="23"/>
      <c r="H15" s="24" t="s">
        <v>51</v>
      </c>
      <c r="I15" s="24"/>
      <c r="J15" s="24"/>
      <c r="K15" s="24"/>
      <c r="M15" s="22" t="s">
        <v>61</v>
      </c>
      <c r="N15" s="12">
        <f>vlookup(H15,data_summary_by_question!U2:V7,2, FALSE)</f>
        <v>0</v>
      </c>
      <c r="P15" s="12">
        <f>H15</f>
        <v>0</v>
      </c>
    </row>
    <row r="16" spans="1:16" ht="48" customHeight="1">
      <c r="A16" s="23" t="s">
        <v>465</v>
      </c>
      <c r="B16" s="23"/>
      <c r="C16" s="23"/>
      <c r="D16" s="23"/>
      <c r="E16" s="23"/>
      <c r="F16" s="23"/>
      <c r="G16" s="23"/>
      <c r="H16" s="24" t="s">
        <v>51</v>
      </c>
      <c r="I16" s="24"/>
      <c r="J16" s="24"/>
      <c r="K16" s="24"/>
      <c r="M16" s="22" t="s">
        <v>61</v>
      </c>
      <c r="N16" s="12">
        <f>vlookup(H16,data_summary_by_question!U2:V7,2, FALSE)</f>
        <v>0</v>
      </c>
      <c r="P16" s="12">
        <f>H16</f>
        <v>0</v>
      </c>
    </row>
    <row r="17" spans="1:16" ht="48" customHeight="1">
      <c r="A17" s="23" t="s">
        <v>466</v>
      </c>
      <c r="B17" s="23"/>
      <c r="C17" s="23"/>
      <c r="D17" s="23"/>
      <c r="E17" s="23"/>
      <c r="F17" s="23"/>
      <c r="G17" s="23"/>
      <c r="H17" s="24" t="s">
        <v>51</v>
      </c>
      <c r="I17" s="24"/>
      <c r="J17" s="24"/>
      <c r="K17" s="24"/>
      <c r="M17" s="22" t="s">
        <v>61</v>
      </c>
      <c r="N17" s="12">
        <f>vlookup(H17,data_summary_by_question!U2:V7,2, FALSE)</f>
        <v>0</v>
      </c>
      <c r="P17" s="12">
        <f>H17</f>
        <v>0</v>
      </c>
    </row>
    <row r="18" spans="1:16" ht="48" customHeight="1">
      <c r="A18" s="23" t="s">
        <v>467</v>
      </c>
      <c r="B18" s="23"/>
      <c r="C18" s="23"/>
      <c r="D18" s="23"/>
      <c r="E18" s="23"/>
      <c r="F18" s="23"/>
      <c r="G18" s="23"/>
      <c r="H18" s="24" t="s">
        <v>51</v>
      </c>
      <c r="I18" s="24"/>
      <c r="J18" s="24"/>
      <c r="K18" s="24"/>
      <c r="M18" s="22" t="s">
        <v>61</v>
      </c>
      <c r="N18" s="12">
        <f>vlookup(H18,data_summary_by_question!U2:V7,2, FALSE)</f>
        <v>0</v>
      </c>
      <c r="P18" s="12">
        <f>H18</f>
        <v>0</v>
      </c>
    </row>
    <row r="19" spans="1:16" ht="48" customHeight="1">
      <c r="A19" s="23" t="s">
        <v>468</v>
      </c>
      <c r="B19" s="23"/>
      <c r="C19" s="23"/>
      <c r="D19" s="23"/>
      <c r="E19" s="23"/>
      <c r="F19" s="23"/>
      <c r="G19" s="23"/>
      <c r="H19" s="24" t="s">
        <v>51</v>
      </c>
      <c r="I19" s="24"/>
      <c r="J19" s="24"/>
      <c r="K19" s="24"/>
      <c r="M19" s="22" t="s">
        <v>61</v>
      </c>
      <c r="N19" s="12">
        <f>vlookup(H19,data_summary_by_question!U2:V7,2, FALSE)</f>
        <v>0</v>
      </c>
      <c r="P19" s="12">
        <f>H19</f>
        <v>0</v>
      </c>
    </row>
    <row r="20" spans="1:16" ht="48" customHeight="1">
      <c r="A20" s="25" t="s">
        <v>67</v>
      </c>
      <c r="B20" s="25"/>
      <c r="C20" s="25"/>
      <c r="D20" s="25"/>
      <c r="E20" s="25"/>
      <c r="F20" s="25"/>
      <c r="G20" s="25"/>
      <c r="H20" s="26" t="s">
        <v>51</v>
      </c>
      <c r="I20" s="26"/>
      <c r="J20" s="26"/>
      <c r="K20" s="26"/>
      <c r="M20" s="26" t="s">
        <v>68</v>
      </c>
    </row>
    <row r="22" spans="1:16" ht="48" customHeight="1">
      <c r="A22" s="21" t="s">
        <v>469</v>
      </c>
      <c r="B22" s="21"/>
      <c r="C22" s="21"/>
      <c r="D22" s="21"/>
      <c r="E22" s="21"/>
      <c r="F22" s="21"/>
      <c r="G22" s="21"/>
      <c r="H22" s="20" t="s">
        <v>58</v>
      </c>
      <c r="I22" s="20"/>
      <c r="J22" s="20"/>
      <c r="K22" s="20"/>
      <c r="M22" s="22" t="s">
        <v>59</v>
      </c>
    </row>
    <row r="23" spans="1:16" ht="48" customHeight="1">
      <c r="A23" s="23" t="s">
        <v>470</v>
      </c>
      <c r="B23" s="23"/>
      <c r="C23" s="23"/>
      <c r="D23" s="23"/>
      <c r="E23" s="23"/>
      <c r="F23" s="23"/>
      <c r="G23" s="23"/>
      <c r="H23" s="24" t="s">
        <v>51</v>
      </c>
      <c r="I23" s="24"/>
      <c r="J23" s="24"/>
      <c r="K23" s="24"/>
      <c r="M23" s="22" t="s">
        <v>61</v>
      </c>
      <c r="N23" s="12">
        <f>vlookup(H23,data_summary_by_question!U2:V7,2, FALSE)</f>
        <v>0</v>
      </c>
      <c r="O23" s="12">
        <f>average(N23:N24)</f>
        <v>0</v>
      </c>
      <c r="P23" s="12">
        <f>H23</f>
        <v>0</v>
      </c>
    </row>
    <row r="24" spans="1:16" ht="48" customHeight="1">
      <c r="A24" s="23" t="s">
        <v>471</v>
      </c>
      <c r="B24" s="23"/>
      <c r="C24" s="23"/>
      <c r="D24" s="23"/>
      <c r="E24" s="23"/>
      <c r="F24" s="23"/>
      <c r="G24" s="23"/>
      <c r="H24" s="24" t="s">
        <v>51</v>
      </c>
      <c r="I24" s="24"/>
      <c r="J24" s="24"/>
      <c r="K24" s="24"/>
      <c r="M24" s="22" t="s">
        <v>61</v>
      </c>
      <c r="N24" s="12">
        <f>vlookup(H24,data_summary_by_question!U2:V7,2, FALSE)</f>
        <v>0</v>
      </c>
      <c r="P24" s="12">
        <f>H24</f>
        <v>0</v>
      </c>
    </row>
    <row r="25" spans="1:16" ht="48" customHeight="1">
      <c r="A25" s="25" t="s">
        <v>67</v>
      </c>
      <c r="B25" s="25"/>
      <c r="C25" s="25"/>
      <c r="D25" s="25"/>
      <c r="E25" s="25"/>
      <c r="F25" s="25"/>
      <c r="G25" s="25"/>
      <c r="H25" s="26" t="s">
        <v>51</v>
      </c>
      <c r="I25" s="26"/>
      <c r="J25" s="26"/>
      <c r="K25" s="26"/>
      <c r="M25" s="26" t="s">
        <v>68</v>
      </c>
    </row>
    <row r="27" spans="1:16" ht="48" customHeight="1">
      <c r="A27" s="21" t="s">
        <v>472</v>
      </c>
      <c r="B27" s="21"/>
      <c r="C27" s="21"/>
      <c r="D27" s="21"/>
      <c r="E27" s="21"/>
      <c r="F27" s="21"/>
      <c r="G27" s="21"/>
      <c r="H27" s="20" t="s">
        <v>58</v>
      </c>
      <c r="I27" s="20"/>
      <c r="J27" s="20"/>
      <c r="K27" s="20"/>
      <c r="M27" s="22" t="s">
        <v>59</v>
      </c>
    </row>
    <row r="28" spans="1:16" ht="48" customHeight="1">
      <c r="A28" s="23" t="s">
        <v>473</v>
      </c>
      <c r="B28" s="23"/>
      <c r="C28" s="23"/>
      <c r="D28" s="23"/>
      <c r="E28" s="23"/>
      <c r="F28" s="23"/>
      <c r="G28" s="23"/>
      <c r="H28" s="24" t="s">
        <v>51</v>
      </c>
      <c r="I28" s="24"/>
      <c r="J28" s="24"/>
      <c r="K28" s="24"/>
      <c r="M28" s="22" t="s">
        <v>61</v>
      </c>
      <c r="N28" s="12">
        <f>vlookup(H28,data_summary_by_question!U2:V7,2, FALSE)</f>
        <v>0</v>
      </c>
      <c r="O28" s="12">
        <f>average(N28:N29)</f>
        <v>0</v>
      </c>
      <c r="P28" s="12">
        <f>H28</f>
        <v>0</v>
      </c>
    </row>
    <row r="29" spans="1:16" ht="48" customHeight="1">
      <c r="A29" s="23" t="s">
        <v>474</v>
      </c>
      <c r="B29" s="23"/>
      <c r="C29" s="23"/>
      <c r="D29" s="23"/>
      <c r="E29" s="23"/>
      <c r="F29" s="23"/>
      <c r="G29" s="23"/>
      <c r="H29" s="24" t="s">
        <v>51</v>
      </c>
      <c r="I29" s="24"/>
      <c r="J29" s="24"/>
      <c r="K29" s="24"/>
      <c r="M29" s="22" t="s">
        <v>61</v>
      </c>
      <c r="N29" s="12">
        <f>vlookup(H29,data_summary_by_question!U2:V7,2, FALSE)</f>
        <v>0</v>
      </c>
      <c r="P29" s="12">
        <f>H29</f>
        <v>0</v>
      </c>
    </row>
    <row r="30" spans="1:16" ht="48" customHeight="1">
      <c r="A30" s="25" t="s">
        <v>67</v>
      </c>
      <c r="B30" s="25"/>
      <c r="C30" s="25"/>
      <c r="D30" s="25"/>
      <c r="E30" s="25"/>
      <c r="F30" s="25"/>
      <c r="G30" s="25"/>
      <c r="H30" s="26" t="s">
        <v>51</v>
      </c>
      <c r="I30" s="26"/>
      <c r="J30" s="26"/>
      <c r="K30" s="26"/>
      <c r="M30" s="26" t="s">
        <v>68</v>
      </c>
    </row>
    <row r="32" spans="1:16" ht="48" customHeight="1">
      <c r="A32" s="21" t="s">
        <v>475</v>
      </c>
      <c r="B32" s="21"/>
      <c r="C32" s="21"/>
      <c r="D32" s="21"/>
      <c r="E32" s="21"/>
      <c r="F32" s="21"/>
      <c r="G32" s="21"/>
      <c r="H32" s="20" t="s">
        <v>58</v>
      </c>
      <c r="I32" s="20"/>
      <c r="J32" s="20"/>
      <c r="K32" s="20"/>
      <c r="M32" s="22" t="s">
        <v>59</v>
      </c>
    </row>
    <row r="33" spans="1:16" ht="48" customHeight="1">
      <c r="A33" s="23" t="s">
        <v>476</v>
      </c>
      <c r="B33" s="23"/>
      <c r="C33" s="23"/>
      <c r="D33" s="23"/>
      <c r="E33" s="23"/>
      <c r="F33" s="23"/>
      <c r="G33" s="23"/>
      <c r="H33" s="24" t="s">
        <v>51</v>
      </c>
      <c r="I33" s="24"/>
      <c r="J33" s="24"/>
      <c r="K33" s="24"/>
      <c r="M33" s="22" t="s">
        <v>61</v>
      </c>
      <c r="N33" s="12">
        <f>vlookup(H33,data_summary_by_question!U2:V7,2, FALSE)</f>
        <v>0</v>
      </c>
      <c r="O33" s="12">
        <f>average(N33:N33)</f>
        <v>0</v>
      </c>
      <c r="P33" s="12">
        <f>H33</f>
        <v>0</v>
      </c>
    </row>
    <row r="34" spans="1:16" ht="48" customHeight="1">
      <c r="A34" s="25" t="s">
        <v>67</v>
      </c>
      <c r="B34" s="25"/>
      <c r="C34" s="25"/>
      <c r="D34" s="25"/>
      <c r="E34" s="25"/>
      <c r="F34" s="25"/>
      <c r="G34" s="25"/>
      <c r="H34" s="26" t="s">
        <v>51</v>
      </c>
      <c r="I34" s="26"/>
      <c r="J34" s="26"/>
      <c r="K34" s="26"/>
      <c r="M34" s="26" t="s">
        <v>68</v>
      </c>
    </row>
    <row r="36" spans="1:16" ht="48" customHeight="1">
      <c r="A36" s="21" t="s">
        <v>477</v>
      </c>
      <c r="B36" s="21"/>
      <c r="C36" s="21"/>
      <c r="D36" s="21"/>
      <c r="E36" s="21"/>
      <c r="F36" s="21"/>
      <c r="G36" s="21"/>
      <c r="H36" s="20" t="s">
        <v>58</v>
      </c>
      <c r="I36" s="20"/>
      <c r="J36" s="20"/>
      <c r="K36" s="20"/>
      <c r="M36" s="22" t="s">
        <v>59</v>
      </c>
    </row>
    <row r="37" spans="1:16" ht="48" customHeight="1">
      <c r="A37" s="23" t="s">
        <v>478</v>
      </c>
      <c r="B37" s="23"/>
      <c r="C37" s="23"/>
      <c r="D37" s="23"/>
      <c r="E37" s="23"/>
      <c r="F37" s="23"/>
      <c r="G37" s="23"/>
      <c r="H37" s="24" t="s">
        <v>51</v>
      </c>
      <c r="I37" s="24"/>
      <c r="J37" s="24"/>
      <c r="K37" s="24"/>
      <c r="M37" s="22" t="s">
        <v>61</v>
      </c>
      <c r="N37" s="12">
        <f>vlookup(H37,data_summary_by_question!U2:V7,2, FALSE)</f>
        <v>0</v>
      </c>
      <c r="O37" s="12">
        <f>average(N37:N39)</f>
        <v>0</v>
      </c>
      <c r="P37" s="12">
        <f>H37</f>
        <v>0</v>
      </c>
    </row>
    <row r="38" spans="1:16" ht="48" customHeight="1">
      <c r="A38" s="23" t="s">
        <v>479</v>
      </c>
      <c r="B38" s="23"/>
      <c r="C38" s="23"/>
      <c r="D38" s="23"/>
      <c r="E38" s="23"/>
      <c r="F38" s="23"/>
      <c r="G38" s="23"/>
      <c r="H38" s="24" t="s">
        <v>51</v>
      </c>
      <c r="I38" s="24"/>
      <c r="J38" s="24"/>
      <c r="K38" s="24"/>
      <c r="M38" s="22" t="s">
        <v>61</v>
      </c>
      <c r="N38" s="12">
        <f>vlookup(H38,data_summary_by_question!U2:V7,2, FALSE)</f>
        <v>0</v>
      </c>
      <c r="P38" s="12">
        <f>H38</f>
        <v>0</v>
      </c>
    </row>
    <row r="39" spans="1:16" ht="48" customHeight="1">
      <c r="A39" s="23" t="s">
        <v>480</v>
      </c>
      <c r="B39" s="23"/>
      <c r="C39" s="23"/>
      <c r="D39" s="23"/>
      <c r="E39" s="23"/>
      <c r="F39" s="23"/>
      <c r="G39" s="23"/>
      <c r="H39" s="24" t="s">
        <v>51</v>
      </c>
      <c r="I39" s="24"/>
      <c r="J39" s="24"/>
      <c r="K39" s="24"/>
      <c r="M39" s="22" t="s">
        <v>61</v>
      </c>
      <c r="N39" s="12">
        <f>vlookup(H39,data_summary_by_question!U2:V7,2, FALSE)</f>
        <v>0</v>
      </c>
      <c r="P39" s="12">
        <f>H39</f>
        <v>0</v>
      </c>
    </row>
    <row r="40" spans="1:16" ht="48" customHeight="1">
      <c r="A40" s="25" t="s">
        <v>67</v>
      </c>
      <c r="B40" s="25"/>
      <c r="C40" s="25"/>
      <c r="D40" s="25"/>
      <c r="E40" s="25"/>
      <c r="F40" s="25"/>
      <c r="G40" s="25"/>
      <c r="H40" s="26" t="s">
        <v>51</v>
      </c>
      <c r="I40" s="26"/>
      <c r="J40" s="26"/>
      <c r="K40" s="26"/>
      <c r="M40" s="26" t="s">
        <v>68</v>
      </c>
    </row>
    <row r="42" spans="1:16" ht="48" customHeight="1">
      <c r="A42" s="21" t="s">
        <v>481</v>
      </c>
      <c r="B42" s="21"/>
      <c r="C42" s="21"/>
      <c r="D42" s="21"/>
      <c r="E42" s="21"/>
      <c r="F42" s="21"/>
      <c r="G42" s="21"/>
      <c r="H42" s="20" t="s">
        <v>58</v>
      </c>
      <c r="I42" s="20"/>
      <c r="J42" s="20"/>
      <c r="K42" s="20"/>
      <c r="M42" s="22" t="s">
        <v>59</v>
      </c>
    </row>
    <row r="43" spans="1:16" ht="48" customHeight="1">
      <c r="A43" s="23" t="s">
        <v>482</v>
      </c>
      <c r="B43" s="23"/>
      <c r="C43" s="23"/>
      <c r="D43" s="23"/>
      <c r="E43" s="23"/>
      <c r="F43" s="23"/>
      <c r="G43" s="23"/>
      <c r="H43" s="24" t="s">
        <v>51</v>
      </c>
      <c r="I43" s="24"/>
      <c r="J43" s="24"/>
      <c r="K43" s="24"/>
      <c r="M43" s="22" t="s">
        <v>61</v>
      </c>
      <c r="N43" s="12">
        <f>vlookup(H43,data_summary_by_question!U2:V7,2, FALSE)</f>
        <v>0</v>
      </c>
      <c r="O43" s="12">
        <f>average(N43:N44)</f>
        <v>0</v>
      </c>
      <c r="P43" s="12">
        <f>H43</f>
        <v>0</v>
      </c>
    </row>
    <row r="44" spans="1:16" ht="48" customHeight="1">
      <c r="A44" s="23" t="s">
        <v>483</v>
      </c>
      <c r="B44" s="23"/>
      <c r="C44" s="23"/>
      <c r="D44" s="23"/>
      <c r="E44" s="23"/>
      <c r="F44" s="23"/>
      <c r="G44" s="23"/>
      <c r="H44" s="24" t="s">
        <v>51</v>
      </c>
      <c r="I44" s="24"/>
      <c r="J44" s="24"/>
      <c r="K44" s="24"/>
      <c r="M44" s="22" t="s">
        <v>61</v>
      </c>
      <c r="N44" s="12">
        <f>vlookup(H44,data_summary_by_question!U2:V7,2, FALSE)</f>
        <v>0</v>
      </c>
      <c r="P44" s="12">
        <f>H44</f>
        <v>0</v>
      </c>
    </row>
    <row r="45" spans="1:16" ht="48" customHeight="1">
      <c r="A45" s="25" t="s">
        <v>67</v>
      </c>
      <c r="B45" s="25"/>
      <c r="C45" s="25"/>
      <c r="D45" s="25"/>
      <c r="E45" s="25"/>
      <c r="F45" s="25"/>
      <c r="G45" s="25"/>
      <c r="H45" s="26" t="s">
        <v>51</v>
      </c>
      <c r="I45" s="26"/>
      <c r="J45" s="26"/>
      <c r="K45" s="26"/>
      <c r="M45" s="26" t="s">
        <v>68</v>
      </c>
    </row>
    <row r="47" spans="1:16" ht="48" customHeight="1">
      <c r="A47" s="21" t="s">
        <v>484</v>
      </c>
      <c r="B47" s="21"/>
      <c r="C47" s="21"/>
      <c r="D47" s="21"/>
      <c r="E47" s="21"/>
      <c r="F47" s="21"/>
      <c r="G47" s="21"/>
      <c r="H47" s="20" t="s">
        <v>58</v>
      </c>
      <c r="I47" s="20"/>
      <c r="J47" s="20"/>
      <c r="K47" s="20"/>
      <c r="M47" s="22" t="s">
        <v>59</v>
      </c>
    </row>
    <row r="48" spans="1:16" ht="48" customHeight="1">
      <c r="A48" s="23" t="s">
        <v>485</v>
      </c>
      <c r="B48" s="23"/>
      <c r="C48" s="23"/>
      <c r="D48" s="23"/>
      <c r="E48" s="23"/>
      <c r="F48" s="23"/>
      <c r="G48" s="23"/>
      <c r="H48" s="24" t="s">
        <v>51</v>
      </c>
      <c r="I48" s="24"/>
      <c r="J48" s="24"/>
      <c r="K48" s="24"/>
      <c r="M48" s="22" t="s">
        <v>61</v>
      </c>
      <c r="N48" s="12">
        <f>vlookup(H48,data_summary_by_question!U2:V7,2, FALSE)</f>
        <v>0</v>
      </c>
      <c r="O48" s="12">
        <f>average(N48:N49)</f>
        <v>0</v>
      </c>
      <c r="P48" s="12">
        <f>H48</f>
        <v>0</v>
      </c>
    </row>
    <row r="49" spans="1:16" ht="48" customHeight="1">
      <c r="A49" s="23" t="s">
        <v>486</v>
      </c>
      <c r="B49" s="23"/>
      <c r="C49" s="23"/>
      <c r="D49" s="23"/>
      <c r="E49" s="23"/>
      <c r="F49" s="23"/>
      <c r="G49" s="23"/>
      <c r="H49" s="24" t="s">
        <v>51</v>
      </c>
      <c r="I49" s="24"/>
      <c r="J49" s="24"/>
      <c r="K49" s="24"/>
      <c r="M49" s="22" t="s">
        <v>61</v>
      </c>
      <c r="N49" s="12">
        <f>vlookup(H49,data_summary_by_question!U2:V7,2, FALSE)</f>
        <v>0</v>
      </c>
      <c r="P49" s="12">
        <f>H49</f>
        <v>0</v>
      </c>
    </row>
    <row r="50" spans="1:16" ht="48" customHeight="1">
      <c r="A50" s="25" t="s">
        <v>67</v>
      </c>
      <c r="B50" s="25"/>
      <c r="C50" s="25"/>
      <c r="D50" s="25"/>
      <c r="E50" s="25"/>
      <c r="F50" s="25"/>
      <c r="G50" s="25"/>
      <c r="H50" s="26" t="s">
        <v>51</v>
      </c>
      <c r="I50" s="26"/>
      <c r="J50" s="26"/>
      <c r="K50" s="26"/>
      <c r="M50" s="26" t="s">
        <v>68</v>
      </c>
    </row>
    <row r="52" spans="1:16" ht="48" customHeight="1">
      <c r="A52" s="21" t="s">
        <v>487</v>
      </c>
      <c r="B52" s="21"/>
      <c r="C52" s="21"/>
      <c r="D52" s="21"/>
      <c r="E52" s="21"/>
      <c r="F52" s="21"/>
      <c r="G52" s="21"/>
      <c r="H52" s="20" t="s">
        <v>58</v>
      </c>
      <c r="I52" s="20"/>
      <c r="J52" s="20"/>
      <c r="K52" s="20"/>
      <c r="M52" s="22" t="s">
        <v>59</v>
      </c>
    </row>
    <row r="53" spans="1:16" ht="48" customHeight="1">
      <c r="A53" s="23" t="s">
        <v>488</v>
      </c>
      <c r="B53" s="23"/>
      <c r="C53" s="23"/>
      <c r="D53" s="23"/>
      <c r="E53" s="23"/>
      <c r="F53" s="23"/>
      <c r="G53" s="23"/>
      <c r="H53" s="24" t="s">
        <v>51</v>
      </c>
      <c r="I53" s="24"/>
      <c r="J53" s="24"/>
      <c r="K53" s="24"/>
      <c r="M53" s="22" t="s">
        <v>61</v>
      </c>
      <c r="N53" s="12">
        <f>vlookup(H53,data_summary_by_question!U2:V7,2, FALSE)</f>
        <v>0</v>
      </c>
      <c r="O53" s="12">
        <f>average(N53:N53)</f>
        <v>0</v>
      </c>
      <c r="P53" s="12">
        <f>H53</f>
        <v>0</v>
      </c>
    </row>
    <row r="54" spans="1:16" ht="48" customHeight="1">
      <c r="A54" s="25" t="s">
        <v>67</v>
      </c>
      <c r="B54" s="25"/>
      <c r="C54" s="25"/>
      <c r="D54" s="25"/>
      <c r="E54" s="25"/>
      <c r="F54" s="25"/>
      <c r="G54" s="25"/>
      <c r="H54" s="26" t="s">
        <v>51</v>
      </c>
      <c r="I54" s="26"/>
      <c r="J54" s="26"/>
      <c r="K54" s="26"/>
      <c r="M54" s="26" t="s">
        <v>68</v>
      </c>
    </row>
    <row r="56" spans="1:16" ht="48" customHeight="1">
      <c r="A56" s="21" t="s">
        <v>489</v>
      </c>
      <c r="B56" s="21"/>
      <c r="C56" s="21"/>
      <c r="D56" s="21"/>
      <c r="E56" s="21"/>
      <c r="F56" s="21"/>
      <c r="G56" s="21"/>
      <c r="H56" s="20" t="s">
        <v>58</v>
      </c>
      <c r="I56" s="20"/>
      <c r="J56" s="20"/>
      <c r="K56" s="20"/>
      <c r="M56" s="22" t="s">
        <v>59</v>
      </c>
    </row>
    <row r="57" spans="1:16" ht="48" customHeight="1">
      <c r="A57" s="23" t="s">
        <v>490</v>
      </c>
      <c r="B57" s="23"/>
      <c r="C57" s="23"/>
      <c r="D57" s="23"/>
      <c r="E57" s="23"/>
      <c r="F57" s="23"/>
      <c r="G57" s="23"/>
      <c r="H57" s="24" t="s">
        <v>51</v>
      </c>
      <c r="I57" s="24"/>
      <c r="J57" s="24"/>
      <c r="K57" s="24"/>
      <c r="M57" s="22" t="s">
        <v>61</v>
      </c>
      <c r="N57" s="12">
        <f>vlookup(H57,data_summary_by_question!U2:V7,2, FALSE)</f>
        <v>0</v>
      </c>
      <c r="O57" s="12">
        <f>average(N57:N57)</f>
        <v>0</v>
      </c>
      <c r="P57" s="12">
        <f>H57</f>
        <v>0</v>
      </c>
    </row>
    <row r="58" spans="1:16" ht="48" customHeight="1">
      <c r="A58" s="25" t="s">
        <v>67</v>
      </c>
      <c r="B58" s="25"/>
      <c r="C58" s="25"/>
      <c r="D58" s="25"/>
      <c r="E58" s="25"/>
      <c r="F58" s="25"/>
      <c r="G58" s="25"/>
      <c r="H58" s="26" t="s">
        <v>51</v>
      </c>
      <c r="I58" s="26"/>
      <c r="J58" s="26"/>
      <c r="K58" s="26"/>
      <c r="M58" s="26" t="s">
        <v>68</v>
      </c>
    </row>
    <row r="60" spans="1:16" ht="48" customHeight="1">
      <c r="A60" s="21" t="s">
        <v>491</v>
      </c>
      <c r="B60" s="21"/>
      <c r="C60" s="21"/>
      <c r="D60" s="21"/>
      <c r="E60" s="21"/>
      <c r="F60" s="21"/>
      <c r="G60" s="21"/>
      <c r="H60" s="20" t="s">
        <v>58</v>
      </c>
      <c r="I60" s="20"/>
      <c r="J60" s="20"/>
      <c r="K60" s="20"/>
      <c r="M60" s="22" t="s">
        <v>59</v>
      </c>
    </row>
    <row r="61" spans="1:16" ht="48" customHeight="1">
      <c r="A61" s="23" t="s">
        <v>492</v>
      </c>
      <c r="B61" s="23"/>
      <c r="C61" s="23"/>
      <c r="D61" s="23"/>
      <c r="E61" s="23"/>
      <c r="F61" s="23"/>
      <c r="G61" s="23"/>
      <c r="H61" s="24" t="s">
        <v>51</v>
      </c>
      <c r="I61" s="24"/>
      <c r="J61" s="24"/>
      <c r="K61" s="24"/>
      <c r="M61" s="22" t="s">
        <v>61</v>
      </c>
      <c r="N61" s="12">
        <f>vlookup(H61,data_summary_by_question!U2:V7,2, FALSE)</f>
        <v>0</v>
      </c>
      <c r="O61" s="12">
        <f>average(N61:N66)</f>
        <v>0</v>
      </c>
      <c r="P61" s="12">
        <f>H61</f>
        <v>0</v>
      </c>
    </row>
    <row r="62" spans="1:16" ht="48" customHeight="1">
      <c r="A62" s="23" t="s">
        <v>493</v>
      </c>
      <c r="B62" s="23"/>
      <c r="C62" s="23"/>
      <c r="D62" s="23"/>
      <c r="E62" s="23"/>
      <c r="F62" s="23"/>
      <c r="G62" s="23"/>
      <c r="H62" s="24" t="s">
        <v>51</v>
      </c>
      <c r="I62" s="24"/>
      <c r="J62" s="24"/>
      <c r="K62" s="24"/>
      <c r="M62" s="22" t="s">
        <v>61</v>
      </c>
      <c r="N62" s="12">
        <f>vlookup(H62,data_summary_by_question!U2:V7,2, FALSE)</f>
        <v>0</v>
      </c>
      <c r="P62" s="12">
        <f>H62</f>
        <v>0</v>
      </c>
    </row>
    <row r="63" spans="1:16" ht="48" customHeight="1">
      <c r="A63" s="23" t="s">
        <v>494</v>
      </c>
      <c r="B63" s="23"/>
      <c r="C63" s="23"/>
      <c r="D63" s="23"/>
      <c r="E63" s="23"/>
      <c r="F63" s="23"/>
      <c r="G63" s="23"/>
      <c r="H63" s="24" t="s">
        <v>51</v>
      </c>
      <c r="I63" s="24"/>
      <c r="J63" s="24"/>
      <c r="K63" s="24"/>
      <c r="M63" s="22" t="s">
        <v>61</v>
      </c>
      <c r="N63" s="12">
        <f>vlookup(H63,data_summary_by_question!U2:V7,2, FALSE)</f>
        <v>0</v>
      </c>
      <c r="P63" s="12">
        <f>H63</f>
        <v>0</v>
      </c>
    </row>
    <row r="64" spans="1:16" ht="48" customHeight="1">
      <c r="A64" s="23" t="s">
        <v>495</v>
      </c>
      <c r="B64" s="23"/>
      <c r="C64" s="23"/>
      <c r="D64" s="23"/>
      <c r="E64" s="23"/>
      <c r="F64" s="23"/>
      <c r="G64" s="23"/>
      <c r="H64" s="24" t="s">
        <v>51</v>
      </c>
      <c r="I64" s="24"/>
      <c r="J64" s="24"/>
      <c r="K64" s="24"/>
      <c r="M64" s="22" t="s">
        <v>61</v>
      </c>
      <c r="N64" s="12">
        <f>vlookup(H64,data_summary_by_question!U2:V7,2, FALSE)</f>
        <v>0</v>
      </c>
      <c r="P64" s="12">
        <f>H64</f>
        <v>0</v>
      </c>
    </row>
    <row r="65" spans="1:16" ht="48" customHeight="1">
      <c r="A65" s="23" t="s">
        <v>496</v>
      </c>
      <c r="B65" s="23"/>
      <c r="C65" s="23"/>
      <c r="D65" s="23"/>
      <c r="E65" s="23"/>
      <c r="F65" s="23"/>
      <c r="G65" s="23"/>
      <c r="H65" s="24" t="s">
        <v>51</v>
      </c>
      <c r="I65" s="24"/>
      <c r="J65" s="24"/>
      <c r="K65" s="24"/>
      <c r="M65" s="22" t="s">
        <v>61</v>
      </c>
      <c r="N65" s="12">
        <f>vlookup(H65,data_summary_by_question!U2:V7,2, FALSE)</f>
        <v>0</v>
      </c>
      <c r="P65" s="12">
        <f>H65</f>
        <v>0</v>
      </c>
    </row>
    <row r="66" spans="1:16" ht="48" customHeight="1">
      <c r="A66" s="23" t="s">
        <v>497</v>
      </c>
      <c r="B66" s="23"/>
      <c r="C66" s="23"/>
      <c r="D66" s="23"/>
      <c r="E66" s="23"/>
      <c r="F66" s="23"/>
      <c r="G66" s="23"/>
      <c r="H66" s="24" t="s">
        <v>51</v>
      </c>
      <c r="I66" s="24"/>
      <c r="J66" s="24"/>
      <c r="K66" s="24"/>
      <c r="M66" s="22" t="s">
        <v>61</v>
      </c>
      <c r="N66" s="12">
        <f>vlookup(H66,data_summary_by_question!U2:V7,2, FALSE)</f>
        <v>0</v>
      </c>
      <c r="P66" s="12">
        <f>H66</f>
        <v>0</v>
      </c>
    </row>
    <row r="67" spans="1:16" ht="48" customHeight="1">
      <c r="A67" s="25" t="s">
        <v>67</v>
      </c>
      <c r="B67" s="25"/>
      <c r="C67" s="25"/>
      <c r="D67" s="25"/>
      <c r="E67" s="25"/>
      <c r="F67" s="25"/>
      <c r="G67" s="25"/>
      <c r="H67" s="26" t="s">
        <v>51</v>
      </c>
      <c r="I67" s="26"/>
      <c r="J67" s="26"/>
      <c r="K67" s="26"/>
      <c r="M67" s="26" t="s">
        <v>68</v>
      </c>
    </row>
    <row r="69" spans="1:16" ht="48" customHeight="1">
      <c r="A69" s="21" t="s">
        <v>498</v>
      </c>
      <c r="B69" s="21"/>
      <c r="C69" s="21"/>
      <c r="D69" s="21"/>
      <c r="E69" s="21"/>
      <c r="F69" s="21"/>
      <c r="G69" s="21"/>
      <c r="H69" s="20" t="s">
        <v>58</v>
      </c>
      <c r="I69" s="20"/>
      <c r="J69" s="20"/>
      <c r="K69" s="20"/>
      <c r="M69" s="22" t="s">
        <v>59</v>
      </c>
    </row>
    <row r="70" spans="1:16" ht="48" customHeight="1">
      <c r="A70" s="23" t="s">
        <v>499</v>
      </c>
      <c r="B70" s="23"/>
      <c r="C70" s="23"/>
      <c r="D70" s="23"/>
      <c r="E70" s="23"/>
      <c r="F70" s="23"/>
      <c r="G70" s="23"/>
      <c r="H70" s="24" t="s">
        <v>51</v>
      </c>
      <c r="I70" s="24"/>
      <c r="J70" s="24"/>
      <c r="K70" s="24"/>
      <c r="M70" s="22" t="s">
        <v>61</v>
      </c>
      <c r="N70" s="12">
        <f>vlookup(H70,data_summary_by_question!U2:V7,2, FALSE)</f>
        <v>0</v>
      </c>
      <c r="O70" s="12">
        <f>average(N70:N72)</f>
        <v>0</v>
      </c>
      <c r="P70" s="12">
        <f>H70</f>
        <v>0</v>
      </c>
    </row>
    <row r="71" spans="1:16" ht="48" customHeight="1">
      <c r="A71" s="23" t="s">
        <v>500</v>
      </c>
      <c r="B71" s="23"/>
      <c r="C71" s="23"/>
      <c r="D71" s="23"/>
      <c r="E71" s="23"/>
      <c r="F71" s="23"/>
      <c r="G71" s="23"/>
      <c r="H71" s="24" t="s">
        <v>51</v>
      </c>
      <c r="I71" s="24"/>
      <c r="J71" s="24"/>
      <c r="K71" s="24"/>
      <c r="M71" s="22" t="s">
        <v>61</v>
      </c>
      <c r="N71" s="12">
        <f>vlookup(H71,data_summary_by_question!U2:V7,2, FALSE)</f>
        <v>0</v>
      </c>
      <c r="P71" s="12">
        <f>H71</f>
        <v>0</v>
      </c>
    </row>
    <row r="72" spans="1:16" ht="48" customHeight="1">
      <c r="A72" s="23" t="s">
        <v>501</v>
      </c>
      <c r="B72" s="23"/>
      <c r="C72" s="23"/>
      <c r="D72" s="23"/>
      <c r="E72" s="23"/>
      <c r="F72" s="23"/>
      <c r="G72" s="23"/>
      <c r="H72" s="24" t="s">
        <v>51</v>
      </c>
      <c r="I72" s="24"/>
      <c r="J72" s="24"/>
      <c r="K72" s="24"/>
      <c r="M72" s="22" t="s">
        <v>61</v>
      </c>
      <c r="N72" s="12">
        <f>vlookup(H72,data_summary_by_question!U2:V7,2, FALSE)</f>
        <v>0</v>
      </c>
      <c r="P72" s="12">
        <f>H72</f>
        <v>0</v>
      </c>
    </row>
    <row r="73" spans="1:16" ht="48" customHeight="1">
      <c r="A73" s="25" t="s">
        <v>67</v>
      </c>
      <c r="B73" s="25"/>
      <c r="C73" s="25"/>
      <c r="D73" s="25"/>
      <c r="E73" s="25"/>
      <c r="F73" s="25"/>
      <c r="G73" s="25"/>
      <c r="H73" s="26" t="s">
        <v>51</v>
      </c>
      <c r="I73" s="26"/>
      <c r="J73" s="26"/>
      <c r="K73" s="26"/>
      <c r="M73" s="26" t="s">
        <v>68</v>
      </c>
    </row>
    <row r="75" spans="1:16" ht="48" customHeight="1">
      <c r="A75" s="21" t="s">
        <v>502</v>
      </c>
      <c r="B75" s="21"/>
      <c r="C75" s="21"/>
      <c r="D75" s="21"/>
      <c r="E75" s="21"/>
      <c r="F75" s="21"/>
      <c r="G75" s="21"/>
      <c r="H75" s="20" t="s">
        <v>58</v>
      </c>
      <c r="I75" s="20"/>
      <c r="J75" s="20"/>
      <c r="K75" s="20"/>
      <c r="M75" s="22" t="s">
        <v>59</v>
      </c>
    </row>
    <row r="76" spans="1:16" ht="48" customHeight="1">
      <c r="A76" s="23" t="s">
        <v>503</v>
      </c>
      <c r="B76" s="23"/>
      <c r="C76" s="23"/>
      <c r="D76" s="23"/>
      <c r="E76" s="23"/>
      <c r="F76" s="23"/>
      <c r="G76" s="23"/>
      <c r="H76" s="24" t="s">
        <v>51</v>
      </c>
      <c r="I76" s="24"/>
      <c r="J76" s="24"/>
      <c r="K76" s="24"/>
      <c r="M76" s="22" t="s">
        <v>61</v>
      </c>
      <c r="N76" s="12">
        <f>vlookup(H76,data_summary_by_question!U2:V7,2, FALSE)</f>
        <v>0</v>
      </c>
      <c r="O76" s="12">
        <f>average(N76:N76)</f>
        <v>0</v>
      </c>
      <c r="P76" s="12">
        <f>H76</f>
        <v>0</v>
      </c>
    </row>
    <row r="77" spans="1:16" ht="48" customHeight="1">
      <c r="A77" s="25" t="s">
        <v>67</v>
      </c>
      <c r="B77" s="25"/>
      <c r="C77" s="25"/>
      <c r="D77" s="25"/>
      <c r="E77" s="25"/>
      <c r="F77" s="25"/>
      <c r="G77" s="25"/>
      <c r="H77" s="26" t="s">
        <v>51</v>
      </c>
      <c r="I77" s="26"/>
      <c r="J77" s="26"/>
      <c r="K77" s="26"/>
      <c r="M77" s="26" t="s">
        <v>68</v>
      </c>
    </row>
    <row r="79" spans="1:16" ht="48" customHeight="1">
      <c r="A79" s="21" t="s">
        <v>504</v>
      </c>
      <c r="B79" s="21"/>
      <c r="C79" s="21"/>
      <c r="D79" s="21"/>
      <c r="E79" s="21"/>
      <c r="F79" s="21"/>
      <c r="G79" s="21"/>
      <c r="H79" s="20" t="s">
        <v>58</v>
      </c>
      <c r="I79" s="20"/>
      <c r="J79" s="20"/>
      <c r="K79" s="20"/>
      <c r="M79" s="22" t="s">
        <v>59</v>
      </c>
    </row>
    <row r="80" spans="1:16" ht="48" customHeight="1">
      <c r="A80" s="23" t="s">
        <v>505</v>
      </c>
      <c r="B80" s="23"/>
      <c r="C80" s="23"/>
      <c r="D80" s="23"/>
      <c r="E80" s="23"/>
      <c r="F80" s="23"/>
      <c r="G80" s="23"/>
      <c r="H80" s="24" t="s">
        <v>51</v>
      </c>
      <c r="I80" s="24"/>
      <c r="J80" s="24"/>
      <c r="K80" s="24"/>
      <c r="M80" s="22" t="s">
        <v>61</v>
      </c>
      <c r="N80" s="12">
        <f>vlookup(H80,data_summary_by_question!U2:V7,2, FALSE)</f>
        <v>0</v>
      </c>
      <c r="O80" s="12">
        <f>average(N80:N81)</f>
        <v>0</v>
      </c>
      <c r="P80" s="12">
        <f>H80</f>
        <v>0</v>
      </c>
    </row>
    <row r="81" spans="1:16" ht="48" customHeight="1">
      <c r="A81" s="23" t="s">
        <v>506</v>
      </c>
      <c r="B81" s="23"/>
      <c r="C81" s="23"/>
      <c r="D81" s="23"/>
      <c r="E81" s="23"/>
      <c r="F81" s="23"/>
      <c r="G81" s="23"/>
      <c r="H81" s="24" t="s">
        <v>51</v>
      </c>
      <c r="I81" s="24"/>
      <c r="J81" s="24"/>
      <c r="K81" s="24"/>
      <c r="M81" s="22" t="s">
        <v>61</v>
      </c>
      <c r="N81" s="12">
        <f>vlookup(H81,data_summary_by_question!U2:V7,2, FALSE)</f>
        <v>0</v>
      </c>
      <c r="P81" s="12">
        <f>H81</f>
        <v>0</v>
      </c>
    </row>
    <row r="82" spans="1:16" ht="48" customHeight="1">
      <c r="A82" s="25" t="s">
        <v>67</v>
      </c>
      <c r="B82" s="25"/>
      <c r="C82" s="25"/>
      <c r="D82" s="25"/>
      <c r="E82" s="25"/>
      <c r="F82" s="25"/>
      <c r="G82" s="25"/>
      <c r="H82" s="26" t="s">
        <v>51</v>
      </c>
      <c r="I82" s="26"/>
      <c r="J82" s="26"/>
      <c r="K82" s="26"/>
      <c r="M82" s="26" t="s">
        <v>68</v>
      </c>
    </row>
    <row r="84" spans="1:16" ht="48" customHeight="1">
      <c r="A84" s="21" t="s">
        <v>507</v>
      </c>
      <c r="B84" s="21"/>
      <c r="C84" s="21"/>
      <c r="D84" s="21"/>
      <c r="E84" s="21"/>
      <c r="F84" s="21"/>
      <c r="G84" s="21"/>
      <c r="H84" s="20" t="s">
        <v>58</v>
      </c>
      <c r="I84" s="20"/>
      <c r="J84" s="20"/>
      <c r="K84" s="20"/>
      <c r="M84" s="22" t="s">
        <v>59</v>
      </c>
    </row>
    <row r="85" spans="1:16" ht="48" customHeight="1">
      <c r="A85" s="23" t="s">
        <v>508</v>
      </c>
      <c r="B85" s="23"/>
      <c r="C85" s="23"/>
      <c r="D85" s="23"/>
      <c r="E85" s="23"/>
      <c r="F85" s="23"/>
      <c r="G85" s="23"/>
      <c r="H85" s="24" t="s">
        <v>51</v>
      </c>
      <c r="I85" s="24"/>
      <c r="J85" s="24"/>
      <c r="K85" s="24"/>
      <c r="M85" s="22" t="s">
        <v>61</v>
      </c>
      <c r="N85" s="12">
        <f>vlookup(H85,data_summary_by_question!U2:V7,2, FALSE)</f>
        <v>0</v>
      </c>
      <c r="O85" s="12">
        <f>average(N85:N85)</f>
        <v>0</v>
      </c>
      <c r="P85" s="12">
        <f>H85</f>
        <v>0</v>
      </c>
    </row>
    <row r="86" spans="1:16" ht="48" customHeight="1">
      <c r="A86" s="25" t="s">
        <v>67</v>
      </c>
      <c r="B86" s="25"/>
      <c r="C86" s="25"/>
      <c r="D86" s="25"/>
      <c r="E86" s="25"/>
      <c r="F86" s="25"/>
      <c r="G86" s="25"/>
      <c r="H86" s="26" t="s">
        <v>51</v>
      </c>
      <c r="I86" s="26"/>
      <c r="J86" s="26"/>
      <c r="K86" s="26"/>
      <c r="M86" s="26" t="s">
        <v>68</v>
      </c>
    </row>
    <row r="88" spans="1:16" ht="48" customHeight="1">
      <c r="A88" s="21" t="s">
        <v>509</v>
      </c>
      <c r="B88" s="21"/>
      <c r="C88" s="21"/>
      <c r="D88" s="21"/>
      <c r="E88" s="21"/>
      <c r="F88" s="21"/>
      <c r="G88" s="21"/>
      <c r="H88" s="20" t="s">
        <v>58</v>
      </c>
      <c r="I88" s="20"/>
      <c r="J88" s="20"/>
      <c r="K88" s="20"/>
      <c r="M88" s="22" t="s">
        <v>59</v>
      </c>
    </row>
    <row r="89" spans="1:16" ht="48" customHeight="1">
      <c r="A89" s="23" t="s">
        <v>510</v>
      </c>
      <c r="B89" s="23"/>
      <c r="C89" s="23"/>
      <c r="D89" s="23"/>
      <c r="E89" s="23"/>
      <c r="F89" s="23"/>
      <c r="G89" s="23"/>
      <c r="H89" s="24" t="s">
        <v>51</v>
      </c>
      <c r="I89" s="24"/>
      <c r="J89" s="24"/>
      <c r="K89" s="24"/>
      <c r="M89" s="22" t="s">
        <v>61</v>
      </c>
      <c r="N89" s="12">
        <f>vlookup(H89,data_summary_by_question!U2:V7,2, FALSE)</f>
        <v>0</v>
      </c>
      <c r="O89" s="12">
        <f>average(N89:N91)</f>
        <v>0</v>
      </c>
      <c r="P89" s="12">
        <f>H89</f>
        <v>0</v>
      </c>
    </row>
    <row r="90" spans="1:16" ht="48" customHeight="1">
      <c r="A90" s="23" t="s">
        <v>511</v>
      </c>
      <c r="B90" s="23"/>
      <c r="C90" s="23"/>
      <c r="D90" s="23"/>
      <c r="E90" s="23"/>
      <c r="F90" s="23"/>
      <c r="G90" s="23"/>
      <c r="H90" s="24" t="s">
        <v>51</v>
      </c>
      <c r="I90" s="24"/>
      <c r="J90" s="24"/>
      <c r="K90" s="24"/>
      <c r="M90" s="22" t="s">
        <v>61</v>
      </c>
      <c r="N90" s="12">
        <f>vlookup(H90,data_summary_by_question!U2:V7,2, FALSE)</f>
        <v>0</v>
      </c>
      <c r="P90" s="12">
        <f>H90</f>
        <v>0</v>
      </c>
    </row>
    <row r="91" spans="1:16" ht="48" customHeight="1">
      <c r="A91" s="23" t="s">
        <v>512</v>
      </c>
      <c r="B91" s="23"/>
      <c r="C91" s="23"/>
      <c r="D91" s="23"/>
      <c r="E91" s="23"/>
      <c r="F91" s="23"/>
      <c r="G91" s="23"/>
      <c r="H91" s="24" t="s">
        <v>51</v>
      </c>
      <c r="I91" s="24"/>
      <c r="J91" s="24"/>
      <c r="K91" s="24"/>
      <c r="M91" s="22" t="s">
        <v>61</v>
      </c>
      <c r="N91" s="12">
        <f>vlookup(H91,data_summary_by_question!U2:V7,2, FALSE)</f>
        <v>0</v>
      </c>
      <c r="P91" s="12">
        <f>H91</f>
        <v>0</v>
      </c>
    </row>
    <row r="92" spans="1:16" ht="48" customHeight="1">
      <c r="A92" s="25" t="s">
        <v>67</v>
      </c>
      <c r="B92" s="25"/>
      <c r="C92" s="25"/>
      <c r="D92" s="25"/>
      <c r="E92" s="25"/>
      <c r="F92" s="25"/>
      <c r="G92" s="25"/>
      <c r="H92" s="26" t="s">
        <v>51</v>
      </c>
      <c r="I92" s="26"/>
      <c r="J92" s="26"/>
      <c r="K92" s="26"/>
      <c r="M92" s="26" t="s">
        <v>68</v>
      </c>
    </row>
    <row r="94" spans="1:16" ht="48" customHeight="1">
      <c r="A94" s="21" t="s">
        <v>513</v>
      </c>
      <c r="B94" s="21"/>
      <c r="C94" s="21"/>
      <c r="D94" s="21"/>
      <c r="E94" s="21"/>
      <c r="F94" s="21"/>
      <c r="G94" s="21"/>
      <c r="H94" s="20" t="s">
        <v>58</v>
      </c>
      <c r="I94" s="20"/>
      <c r="J94" s="20"/>
      <c r="K94" s="20"/>
      <c r="M94" s="22" t="s">
        <v>59</v>
      </c>
    </row>
    <row r="95" spans="1:16" ht="48" customHeight="1">
      <c r="A95" s="23" t="s">
        <v>514</v>
      </c>
      <c r="B95" s="23"/>
      <c r="C95" s="23"/>
      <c r="D95" s="23"/>
      <c r="E95" s="23"/>
      <c r="F95" s="23"/>
      <c r="G95" s="23"/>
      <c r="H95" s="24" t="s">
        <v>51</v>
      </c>
      <c r="I95" s="24"/>
      <c r="J95" s="24"/>
      <c r="K95" s="24"/>
      <c r="M95" s="22" t="s">
        <v>61</v>
      </c>
      <c r="N95" s="12">
        <f>vlookup(H95,data_summary_by_question!U2:V7,2, FALSE)</f>
        <v>0</v>
      </c>
      <c r="O95" s="12">
        <f>average(N95:N97)</f>
        <v>0</v>
      </c>
      <c r="P95" s="12">
        <f>H95</f>
        <v>0</v>
      </c>
    </row>
    <row r="96" spans="1:16" ht="48" customHeight="1">
      <c r="A96" s="23" t="s">
        <v>515</v>
      </c>
      <c r="B96" s="23"/>
      <c r="C96" s="23"/>
      <c r="D96" s="23"/>
      <c r="E96" s="23"/>
      <c r="F96" s="23"/>
      <c r="G96" s="23"/>
      <c r="H96" s="24" t="s">
        <v>51</v>
      </c>
      <c r="I96" s="24"/>
      <c r="J96" s="24"/>
      <c r="K96" s="24"/>
      <c r="M96" s="22" t="s">
        <v>61</v>
      </c>
      <c r="N96" s="12">
        <f>vlookup(H96,data_summary_by_question!U2:V7,2, FALSE)</f>
        <v>0</v>
      </c>
      <c r="P96" s="12">
        <f>H96</f>
        <v>0</v>
      </c>
    </row>
    <row r="97" spans="1:16" ht="48" customHeight="1">
      <c r="A97" s="23" t="s">
        <v>516</v>
      </c>
      <c r="B97" s="23"/>
      <c r="C97" s="23"/>
      <c r="D97" s="23"/>
      <c r="E97" s="23"/>
      <c r="F97" s="23"/>
      <c r="G97" s="23"/>
      <c r="H97" s="24" t="s">
        <v>51</v>
      </c>
      <c r="I97" s="24"/>
      <c r="J97" s="24"/>
      <c r="K97" s="24"/>
      <c r="M97" s="22" t="s">
        <v>61</v>
      </c>
      <c r="N97" s="12">
        <f>vlookup(H97,data_summary_by_question!U2:V7,2, FALSE)</f>
        <v>0</v>
      </c>
      <c r="P97" s="12">
        <f>H97</f>
        <v>0</v>
      </c>
    </row>
    <row r="98" spans="1:16" ht="48" customHeight="1">
      <c r="A98" s="25" t="s">
        <v>67</v>
      </c>
      <c r="B98" s="25"/>
      <c r="C98" s="25"/>
      <c r="D98" s="25"/>
      <c r="E98" s="25"/>
      <c r="F98" s="25"/>
      <c r="G98" s="25"/>
      <c r="H98" s="26" t="s">
        <v>51</v>
      </c>
      <c r="I98" s="26"/>
      <c r="J98" s="26"/>
      <c r="K98" s="26"/>
      <c r="M98" s="26" t="s">
        <v>68</v>
      </c>
    </row>
    <row r="101" spans="1:16" ht="48" customHeight="1">
      <c r="A101" s="25" t="s">
        <v>154</v>
      </c>
      <c r="B101" s="25"/>
      <c r="C101" s="25"/>
      <c r="D101" s="25"/>
      <c r="E101" s="25"/>
      <c r="F101" s="25"/>
      <c r="G101" s="25"/>
      <c r="H101" s="26" t="s">
        <v>51</v>
      </c>
      <c r="I101" s="26"/>
      <c r="J101" s="26"/>
      <c r="K101" s="26"/>
      <c r="M101" s="26" t="s">
        <v>61</v>
      </c>
    </row>
    <row r="103" spans="1:16" ht="48" customHeight="1">
      <c r="A103" s="25" t="s">
        <v>155</v>
      </c>
      <c r="B103" s="25"/>
      <c r="C103" s="25"/>
      <c r="D103" s="25"/>
      <c r="E103" s="25"/>
      <c r="F103" s="25"/>
      <c r="G103" s="25"/>
      <c r="H103" s="26" t="s">
        <v>51</v>
      </c>
      <c r="I103" s="26"/>
      <c r="J103" s="26"/>
      <c r="K103" s="26"/>
      <c r="M103" s="26" t="s">
        <v>61</v>
      </c>
    </row>
    <row r="105" spans="1:16" ht="48" customHeight="1">
      <c r="A105" s="25" t="s">
        <v>156</v>
      </c>
      <c r="B105" s="25"/>
      <c r="C105" s="25"/>
      <c r="D105" s="25"/>
      <c r="E105" s="25"/>
      <c r="F105" s="25"/>
      <c r="G105" s="25"/>
      <c r="H105" s="26" t="s">
        <v>51</v>
      </c>
      <c r="I105" s="26"/>
      <c r="J105" s="26"/>
      <c r="K105" s="26"/>
      <c r="M105" s="26" t="s">
        <v>61</v>
      </c>
    </row>
    <row r="109" spans="1:16" s="12" customFormat="1">
      <c r="A109" s="12" t="s">
        <v>157</v>
      </c>
      <c r="B109" s="12" t="s">
        <v>158</v>
      </c>
      <c r="C109" s="12" t="s">
        <v>159</v>
      </c>
    </row>
    <row r="110" spans="1:16" s="12" customFormat="1">
      <c r="A110" s="12" t="s">
        <v>46</v>
      </c>
      <c r="B110" s="12">
        <f>COUNTIF(P12:P98,A110)</f>
        <v>0</v>
      </c>
      <c r="C110" s="12">
        <f>B110/ B117</f>
        <v>0</v>
      </c>
    </row>
    <row r="111" spans="1:16" s="12" customFormat="1">
      <c r="A111" s="12" t="s">
        <v>47</v>
      </c>
      <c r="B111" s="12">
        <f>COUNTIF(P12:P98,A111)</f>
        <v>0</v>
      </c>
      <c r="C111" s="12">
        <f>B111/ B117</f>
        <v>0</v>
      </c>
    </row>
    <row r="112" spans="1:16" s="12" customFormat="1">
      <c r="A112" s="12" t="s">
        <v>48</v>
      </c>
      <c r="B112" s="12">
        <f>COUNTIF(P12:P98,A112)</f>
        <v>0</v>
      </c>
      <c r="C112" s="12">
        <f>B112/ B117</f>
        <v>0</v>
      </c>
    </row>
    <row r="113" spans="1:3" s="12" customFormat="1">
      <c r="A113" s="12" t="s">
        <v>49</v>
      </c>
      <c r="B113" s="12">
        <f>COUNTIF(P12:P98,A113)</f>
        <v>0</v>
      </c>
      <c r="C113" s="12">
        <f>B113/ B117</f>
        <v>0</v>
      </c>
    </row>
    <row r="114" spans="1:3" s="12" customFormat="1">
      <c r="A114" s="12" t="s">
        <v>50</v>
      </c>
      <c r="B114" s="12">
        <f>COUNTIF(P12:P98,A114)</f>
        <v>0</v>
      </c>
      <c r="C114" s="12">
        <f>B114/ B117</f>
        <v>0</v>
      </c>
    </row>
    <row r="115" spans="1:3" s="12" customFormat="1">
      <c r="A115" s="12" t="s">
        <v>51</v>
      </c>
      <c r="B115" s="12">
        <f>COUNTIF(P12:P98,A115)</f>
        <v>0</v>
      </c>
      <c r="C115" s="12">
        <f>B115/ B117</f>
        <v>0</v>
      </c>
    </row>
    <row r="116" spans="1:3" s="12" customFormat="1"/>
    <row r="117" spans="1:3" s="12" customFormat="1">
      <c r="A117" s="12" t="s">
        <v>160</v>
      </c>
      <c r="B117" s="12">
        <f>SUM(B110:B115)</f>
        <v>0</v>
      </c>
    </row>
    <row r="118" spans="1:3" s="12" customFormat="1"/>
    <row r="119" spans="1:3" s="12" customFormat="1">
      <c r="A119" s="12" t="s">
        <v>161</v>
      </c>
    </row>
    <row r="120" spans="1:3" s="12" customFormat="1">
      <c r="A120" s="12" t="s">
        <v>162</v>
      </c>
      <c r="B120" s="12">
        <f>countifs(O12:O98,"&gt;=1.0", O12:O98,"&lt;=1.0")</f>
        <v>0</v>
      </c>
    </row>
    <row r="121" spans="1:3" s="12" customFormat="1">
      <c r="A121" s="12" t="s">
        <v>163</v>
      </c>
      <c r="B121" s="12">
        <f>countifs(O12:O98,"&gt;=0.75", O12:O98,"&lt;=0.99")</f>
        <v>0</v>
      </c>
    </row>
    <row r="122" spans="1:3" s="12" customFormat="1">
      <c r="A122" s="12" t="s">
        <v>164</v>
      </c>
      <c r="B122" s="12">
        <f>countifs(O12:O98,"&gt;=0.5", O12:O98,"&lt;=0.74")</f>
        <v>0</v>
      </c>
    </row>
    <row r="123" spans="1:3" s="12" customFormat="1">
      <c r="A123" s="12" t="s">
        <v>165</v>
      </c>
      <c r="B123" s="12">
        <f>countifs(O12:O98,"&gt;=0.25", O12:O98,"&lt;=0.49")</f>
        <v>0</v>
      </c>
    </row>
    <row r="124" spans="1:3" s="12" customFormat="1">
      <c r="A124" s="12" t="s">
        <v>166</v>
      </c>
      <c r="B124" s="12">
        <f>countifs(O12:O98,"&gt;=0.0", O12:O98,"&lt;=0.24")</f>
        <v>0</v>
      </c>
    </row>
    <row r="125" spans="1:3" s="12" customFormat="1"/>
    <row r="126" spans="1:3" s="12" customFormat="1">
      <c r="A126" s="12" t="s">
        <v>160</v>
      </c>
      <c r="B126" s="12">
        <f>SUM(B120:B124)</f>
        <v>0</v>
      </c>
    </row>
  </sheetData>
  <sheetProtection password="E4E4" sheet="1" objects="1" scenarios="1"/>
  <mergeCells count="175">
    <mergeCell ref="A1:K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0:K10"/>
    <mergeCell ref="A11:G11"/>
    <mergeCell ref="H11:K11"/>
    <mergeCell ref="A12:G12"/>
    <mergeCell ref="H12:K12"/>
    <mergeCell ref="A13:G13"/>
    <mergeCell ref="H13:K13"/>
    <mergeCell ref="A14:G14"/>
    <mergeCell ref="H14:K14"/>
    <mergeCell ref="A15:G15"/>
    <mergeCell ref="H15:K15"/>
    <mergeCell ref="A16:G16"/>
    <mergeCell ref="H16:K16"/>
    <mergeCell ref="A17:G17"/>
    <mergeCell ref="H17:K17"/>
    <mergeCell ref="A18:G18"/>
    <mergeCell ref="H18:K18"/>
    <mergeCell ref="A19:G19"/>
    <mergeCell ref="H19:K19"/>
    <mergeCell ref="A20:G20"/>
    <mergeCell ref="H20:K20"/>
    <mergeCell ref="A22:G22"/>
    <mergeCell ref="H22:K22"/>
    <mergeCell ref="A23:G23"/>
    <mergeCell ref="H23:K23"/>
    <mergeCell ref="A24:G24"/>
    <mergeCell ref="H24:K24"/>
    <mergeCell ref="A25:G25"/>
    <mergeCell ref="H25:K25"/>
    <mergeCell ref="A27:G27"/>
    <mergeCell ref="H27:K27"/>
    <mergeCell ref="A28:G28"/>
    <mergeCell ref="H28:K28"/>
    <mergeCell ref="A29:G29"/>
    <mergeCell ref="H29:K29"/>
    <mergeCell ref="A30:G30"/>
    <mergeCell ref="H30:K30"/>
    <mergeCell ref="A32:G32"/>
    <mergeCell ref="H32:K32"/>
    <mergeCell ref="A33:G33"/>
    <mergeCell ref="H33:K33"/>
    <mergeCell ref="A34:G34"/>
    <mergeCell ref="H34:K34"/>
    <mergeCell ref="A36:G36"/>
    <mergeCell ref="H36:K36"/>
    <mergeCell ref="A37:G37"/>
    <mergeCell ref="H37:K37"/>
    <mergeCell ref="A38:G38"/>
    <mergeCell ref="H38:K38"/>
    <mergeCell ref="A39:G39"/>
    <mergeCell ref="H39:K39"/>
    <mergeCell ref="A40:G40"/>
    <mergeCell ref="H40:K40"/>
    <mergeCell ref="A42:G42"/>
    <mergeCell ref="H42:K42"/>
    <mergeCell ref="A43:G43"/>
    <mergeCell ref="H43:K43"/>
    <mergeCell ref="A44:G44"/>
    <mergeCell ref="H44:K44"/>
    <mergeCell ref="A45:G45"/>
    <mergeCell ref="H45:K45"/>
    <mergeCell ref="A47:G47"/>
    <mergeCell ref="H47:K47"/>
    <mergeCell ref="A48:G48"/>
    <mergeCell ref="H48:K48"/>
    <mergeCell ref="A49:G49"/>
    <mergeCell ref="H49:K49"/>
    <mergeCell ref="A50:G50"/>
    <mergeCell ref="H50:K50"/>
    <mergeCell ref="A52:G52"/>
    <mergeCell ref="H52:K52"/>
    <mergeCell ref="A53:G53"/>
    <mergeCell ref="H53:K53"/>
    <mergeCell ref="A54:G54"/>
    <mergeCell ref="H54:K54"/>
    <mergeCell ref="A56:G56"/>
    <mergeCell ref="H56:K56"/>
    <mergeCell ref="A57:G57"/>
    <mergeCell ref="H57:K57"/>
    <mergeCell ref="A58:G58"/>
    <mergeCell ref="H58:K58"/>
    <mergeCell ref="A60:G60"/>
    <mergeCell ref="H60:K60"/>
    <mergeCell ref="A61:G61"/>
    <mergeCell ref="H61:K61"/>
    <mergeCell ref="A62:G62"/>
    <mergeCell ref="H62:K62"/>
    <mergeCell ref="A63:G63"/>
    <mergeCell ref="H63:K63"/>
    <mergeCell ref="A64:G64"/>
    <mergeCell ref="H64:K64"/>
    <mergeCell ref="A65:G65"/>
    <mergeCell ref="H65:K65"/>
    <mergeCell ref="A66:G66"/>
    <mergeCell ref="H66:K66"/>
    <mergeCell ref="A67:G67"/>
    <mergeCell ref="H67:K67"/>
    <mergeCell ref="A69:G69"/>
    <mergeCell ref="H69:K69"/>
    <mergeCell ref="A70:G70"/>
    <mergeCell ref="H70:K70"/>
    <mergeCell ref="A71:G71"/>
    <mergeCell ref="H71:K71"/>
    <mergeCell ref="A72:G72"/>
    <mergeCell ref="H72:K72"/>
    <mergeCell ref="A73:G73"/>
    <mergeCell ref="H73:K73"/>
    <mergeCell ref="A75:G75"/>
    <mergeCell ref="H75:K75"/>
    <mergeCell ref="A76:G76"/>
    <mergeCell ref="H76:K76"/>
    <mergeCell ref="A77:G77"/>
    <mergeCell ref="H77:K77"/>
    <mergeCell ref="A79:G79"/>
    <mergeCell ref="H79:K79"/>
    <mergeCell ref="A80:G80"/>
    <mergeCell ref="H80:K80"/>
    <mergeCell ref="A81:G81"/>
    <mergeCell ref="H81:K81"/>
    <mergeCell ref="A82:G82"/>
    <mergeCell ref="H82:K82"/>
    <mergeCell ref="A84:G84"/>
    <mergeCell ref="H84:K84"/>
    <mergeCell ref="A85:G85"/>
    <mergeCell ref="H85:K85"/>
    <mergeCell ref="A86:G86"/>
    <mergeCell ref="H86:K86"/>
    <mergeCell ref="A88:G88"/>
    <mergeCell ref="H88:K88"/>
    <mergeCell ref="A89:G89"/>
    <mergeCell ref="H89:K89"/>
    <mergeCell ref="A90:G90"/>
    <mergeCell ref="H90:K90"/>
    <mergeCell ref="A91:G91"/>
    <mergeCell ref="H91:K91"/>
    <mergeCell ref="A92:G92"/>
    <mergeCell ref="H92:K92"/>
    <mergeCell ref="A94:G94"/>
    <mergeCell ref="H94:K94"/>
    <mergeCell ref="A95:G95"/>
    <mergeCell ref="H95:K95"/>
    <mergeCell ref="A96:G96"/>
    <mergeCell ref="H96:K96"/>
    <mergeCell ref="A97:G97"/>
    <mergeCell ref="H97:K97"/>
    <mergeCell ref="A98:G98"/>
    <mergeCell ref="H98:K98"/>
    <mergeCell ref="A101:G101"/>
    <mergeCell ref="H101:K101"/>
    <mergeCell ref="A103:G103"/>
    <mergeCell ref="H103:K103"/>
    <mergeCell ref="A105:G105"/>
    <mergeCell ref="H105:K105"/>
  </mergeCells>
  <dataValidations count="60">
    <dataValidation type="list" allowBlank="1" showInputMessage="1" showErrorMessage="1" sqref="H12">
      <formula1>"Yes,It Does Not Apply,Partially,I Have Done An Alternative Approach,No,No Answer"</formula1>
    </dataValidation>
    <dataValidation type="list" allowBlank="1" showInputMessage="1" showErrorMessage="1" sqref="H13">
      <formula1>"Yes,It Does Not Apply,Partially,I Have Done An Alternative Approach,No,No Answer"</formula1>
    </dataValidation>
    <dataValidation type="list" allowBlank="1" showInputMessage="1" showErrorMessage="1" sqref="H14">
      <formula1>"Yes,It Does Not Apply,Partially,I Have Done An Alternative Approach,No,No Answer"</formula1>
    </dataValidation>
    <dataValidation type="list" allowBlank="1" showInputMessage="1" showErrorMessage="1" sqref="H15">
      <formula1>"Yes,It Does Not Apply,Partially,I Have Done An Alternative Approach,No,No Answer"</formula1>
    </dataValidation>
    <dataValidation type="list" allowBlank="1" showInputMessage="1" showErrorMessage="1" sqref="H16">
      <formula1>"Yes,It Does Not Apply,Partially,I Have Done An Alternative Approach,No,No Answer"</formula1>
    </dataValidation>
    <dataValidation type="list" allowBlank="1" showInputMessage="1" showErrorMessage="1" sqref="H17">
      <formula1>"Yes,It Does Not Apply,Partially,I Have Done An Alternative Approach,No,No Answer"</formula1>
    </dataValidation>
    <dataValidation type="list" allowBlank="1" showInputMessage="1" showErrorMessage="1" sqref="H18">
      <formula1>"Yes,It Does Not Apply,Partially,I Have Done An Alternative Approach,No,No Answer"</formula1>
    </dataValidation>
    <dataValidation type="list" allowBlank="1" showInputMessage="1" showErrorMessage="1" sqref="H19">
      <formula1>"Yes,It Does Not Apply,Partially,I Have Done An Alternative Approach,No,No Answer"</formula1>
    </dataValidation>
    <dataValidation type="list" allowBlank="1" showInputMessage="1" showErrorMessage="1" sqref="H20">
      <formula1>"Completed,Partially Completed,Not Yet Started,No Answer"</formula1>
    </dataValidation>
    <dataValidation type="list" allowBlank="1" showInputMessage="1" showErrorMessage="1" sqref="H23">
      <formula1>"Yes,It Does Not Apply,Partially,I Have Done An Alternative Approach,No,No Answer"</formula1>
    </dataValidation>
    <dataValidation type="list" allowBlank="1" showInputMessage="1" showErrorMessage="1" sqref="H24">
      <formula1>"Yes,It Does Not Apply,Partially,I Have Done An Alternative Approach,No,No Answer"</formula1>
    </dataValidation>
    <dataValidation type="list" allowBlank="1" showInputMessage="1" showErrorMessage="1" sqref="H25">
      <formula1>"Completed,Partially Completed,Not Yet Started,No Answer"</formula1>
    </dataValidation>
    <dataValidation type="list" allowBlank="1" showInputMessage="1" showErrorMessage="1" sqref="H28">
      <formula1>"Yes,It Does Not Apply,Partially,I Have Done An Alternative Approach,No,No Answer"</formula1>
    </dataValidation>
    <dataValidation type="list" allowBlank="1" showInputMessage="1" showErrorMessage="1" sqref="H29">
      <formula1>"Yes,It Does Not Apply,Partially,I Have Done An Alternative Approach,No,No Answer"</formula1>
    </dataValidation>
    <dataValidation type="list" allowBlank="1" showInputMessage="1" showErrorMessage="1" sqref="H30">
      <formula1>"Completed,Partially Completed,Not Yet Started,No Answer"</formula1>
    </dataValidation>
    <dataValidation type="list" allowBlank="1" showInputMessage="1" showErrorMessage="1" sqref="H33">
      <formula1>"Yes,It Does Not Apply,Partially,I Have Done An Alternative Approach,No,No Answer"</formula1>
    </dataValidation>
    <dataValidation type="list" allowBlank="1" showInputMessage="1" showErrorMessage="1" sqref="H34">
      <formula1>"Completed,Partially Completed,Not Yet Started,No Answer"</formula1>
    </dataValidation>
    <dataValidation type="list" allowBlank="1" showInputMessage="1" showErrorMessage="1" sqref="H37">
      <formula1>"Yes,It Does Not Apply,Partially,I Have Done An Alternative Approach,No,No Answer"</formula1>
    </dataValidation>
    <dataValidation type="list" allowBlank="1" showInputMessage="1" showErrorMessage="1" sqref="H38">
      <formula1>"Yes,It Does Not Apply,Partially,I Have Done An Alternative Approach,No,No Answer"</formula1>
    </dataValidation>
    <dataValidation type="list" allowBlank="1" showInputMessage="1" showErrorMessage="1" sqref="H39">
      <formula1>"Yes,It Does Not Apply,Partially,I Have Done An Alternative Approach,No,No Answer"</formula1>
    </dataValidation>
    <dataValidation type="list" allowBlank="1" showInputMessage="1" showErrorMessage="1" sqref="H40">
      <formula1>"Completed,Partially Completed,Not Yet Started,No Answer"</formula1>
    </dataValidation>
    <dataValidation type="list" allowBlank="1" showInputMessage="1" showErrorMessage="1" sqref="H43">
      <formula1>"Yes,It Does Not Apply,Partially,I Have Done An Alternative Approach,No,No Answer"</formula1>
    </dataValidation>
    <dataValidation type="list" allowBlank="1" showInputMessage="1" showErrorMessage="1" sqref="H44">
      <formula1>"Yes,It Does Not Apply,Partially,I Have Done An Alternative Approach,No,No Answer"</formula1>
    </dataValidation>
    <dataValidation type="list" allowBlank="1" showInputMessage="1" showErrorMessage="1" sqref="H45">
      <formula1>"Completed,Partially Completed,Not Yet Started,No Answer"</formula1>
    </dataValidation>
    <dataValidation type="list" allowBlank="1" showInputMessage="1" showErrorMessage="1" sqref="H48">
      <formula1>"Yes,It Does Not Apply,Partially,I Have Done An Alternative Approach,No,No Answer"</formula1>
    </dataValidation>
    <dataValidation type="list" allowBlank="1" showInputMessage="1" showErrorMessage="1" sqref="H49">
      <formula1>"Yes,It Does Not Apply,Partially,I Have Done An Alternative Approach,No,No Answer"</formula1>
    </dataValidation>
    <dataValidation type="list" allowBlank="1" showInputMessage="1" showErrorMessage="1" sqref="H50">
      <formula1>"Completed,Partially Completed,Not Yet Started,No Answer"</formula1>
    </dataValidation>
    <dataValidation type="list" allowBlank="1" showInputMessage="1" showErrorMessage="1" sqref="H53">
      <formula1>"Yes,It Does Not Apply,Partially,I Have Done An Alternative Approach,No,No Answer"</formula1>
    </dataValidation>
    <dataValidation type="list" allowBlank="1" showInputMessage="1" showErrorMessage="1" sqref="H54">
      <formula1>"Completed,Partially Completed,Not Yet Started,No Answer"</formula1>
    </dataValidation>
    <dataValidation type="list" allowBlank="1" showInputMessage="1" showErrorMessage="1" sqref="H57">
      <formula1>"Yes,It Does Not Apply,Partially,I Have Done An Alternative Approach,No,No Answer"</formula1>
    </dataValidation>
    <dataValidation type="list" allowBlank="1" showInputMessage="1" showErrorMessage="1" sqref="H58">
      <formula1>"Completed,Partially Completed,Not Yet Started,No Answer"</formula1>
    </dataValidation>
    <dataValidation type="list" allowBlank="1" showInputMessage="1" showErrorMessage="1" sqref="H61">
      <formula1>"Yes,It Does Not Apply,Partially,I Have Done An Alternative Approach,No,No Answer"</formula1>
    </dataValidation>
    <dataValidation type="list" allowBlank="1" showInputMessage="1" showErrorMessage="1" sqref="H62">
      <formula1>"Yes,It Does Not Apply,Partially,I Have Done An Alternative Approach,No,No Answer"</formula1>
    </dataValidation>
    <dataValidation type="list" allowBlank="1" showInputMessage="1" showErrorMessage="1" sqref="H63">
      <formula1>"Yes,It Does Not Apply,Partially,I Have Done An Alternative Approach,No,No Answer"</formula1>
    </dataValidation>
    <dataValidation type="list" allowBlank="1" showInputMessage="1" showErrorMessage="1" sqref="H64">
      <formula1>"Yes,It Does Not Apply,Partially,I Have Done An Alternative Approach,No,No Answer"</formula1>
    </dataValidation>
    <dataValidation type="list" allowBlank="1" showInputMessage="1" showErrorMessage="1" sqref="H65">
      <formula1>"Yes,It Does Not Apply,Partially,I Have Done An Alternative Approach,No,No Answer"</formula1>
    </dataValidation>
    <dataValidation type="list" allowBlank="1" showInputMessage="1" showErrorMessage="1" sqref="H66">
      <formula1>"Yes,It Does Not Apply,Partially,I Have Done An Alternative Approach,No,No Answer"</formula1>
    </dataValidation>
    <dataValidation type="list" allowBlank="1" showInputMessage="1" showErrorMessage="1" sqref="H67">
      <formula1>"Completed,Partially Completed,Not Yet Started,No Answer"</formula1>
    </dataValidation>
    <dataValidation type="list" allowBlank="1" showInputMessage="1" showErrorMessage="1" sqref="H70">
      <formula1>"Yes,It Does Not Apply,Partially,I Have Done An Alternative Approach,No,No Answer"</formula1>
    </dataValidation>
    <dataValidation type="list" allowBlank="1" showInputMessage="1" showErrorMessage="1" sqref="H71">
      <formula1>"Yes,It Does Not Apply,Partially,I Have Done An Alternative Approach,No,No Answer"</formula1>
    </dataValidation>
    <dataValidation type="list" allowBlank="1" showInputMessage="1" showErrorMessage="1" sqref="H72">
      <formula1>"Yes,It Does Not Apply,Partially,I Have Done An Alternative Approach,No,No Answer"</formula1>
    </dataValidation>
    <dataValidation type="list" allowBlank="1" showInputMessage="1" showErrorMessage="1" sqref="H73">
      <formula1>"Completed,Partially Completed,Not Yet Started,No Answer"</formula1>
    </dataValidation>
    <dataValidation type="list" allowBlank="1" showInputMessage="1" showErrorMessage="1" sqref="H76">
      <formula1>"Yes,It Does Not Apply,Partially,I Have Done An Alternative Approach,No,No Answer"</formula1>
    </dataValidation>
    <dataValidation type="list" allowBlank="1" showInputMessage="1" showErrorMessage="1" sqref="H77">
      <formula1>"Completed,Partially Completed,Not Yet Started,No Answer"</formula1>
    </dataValidation>
    <dataValidation type="list" allowBlank="1" showInputMessage="1" showErrorMessage="1" sqref="H80">
      <formula1>"Yes,It Does Not Apply,Partially,I Have Done An Alternative Approach,No,No Answer"</formula1>
    </dataValidation>
    <dataValidation type="list" allowBlank="1" showInputMessage="1" showErrorMessage="1" sqref="H81">
      <formula1>"Yes,It Does Not Apply,Partially,I Have Done An Alternative Approach,No,No Answer"</formula1>
    </dataValidation>
    <dataValidation type="list" allowBlank="1" showInputMessage="1" showErrorMessage="1" sqref="H82">
      <formula1>"Completed,Partially Completed,Not Yet Started,No Answer"</formula1>
    </dataValidation>
    <dataValidation type="list" allowBlank="1" showInputMessage="1" showErrorMessage="1" sqref="H85">
      <formula1>"Yes,It Does Not Apply,Partially,I Have Done An Alternative Approach,No,No Answer"</formula1>
    </dataValidation>
    <dataValidation type="list" allowBlank="1" showInputMessage="1" showErrorMessage="1" sqref="H86">
      <formula1>"Completed,Partially Completed,Not Yet Started,No Answer"</formula1>
    </dataValidation>
    <dataValidation type="list" allowBlank="1" showInputMessage="1" showErrorMessage="1" sqref="H89">
      <formula1>"Yes,It Does Not Apply,Partially,I Have Done An Alternative Approach,No,No Answer"</formula1>
    </dataValidation>
    <dataValidation type="list" allowBlank="1" showInputMessage="1" showErrorMessage="1" sqref="H90">
      <formula1>"Yes,It Does Not Apply,Partially,I Have Done An Alternative Approach,No,No Answer"</formula1>
    </dataValidation>
    <dataValidation type="list" allowBlank="1" showInputMessage="1" showErrorMessage="1" sqref="H91">
      <formula1>"Yes,It Does Not Apply,Partially,I Have Done An Alternative Approach,No,No Answer"</formula1>
    </dataValidation>
    <dataValidation type="list" allowBlank="1" showInputMessage="1" showErrorMessage="1" sqref="H92">
      <formula1>"Completed,Partially Completed,Not Yet Started,No Answer"</formula1>
    </dataValidation>
    <dataValidation type="list" allowBlank="1" showInputMessage="1" showErrorMessage="1" sqref="H95">
      <formula1>"Yes,It Does Not Apply,Partially,I Have Done An Alternative Approach,No,No Answer"</formula1>
    </dataValidation>
    <dataValidation type="list" allowBlank="1" showInputMessage="1" showErrorMessage="1" sqref="H96">
      <formula1>"Yes,It Does Not Apply,Partially,I Have Done An Alternative Approach,No,No Answer"</formula1>
    </dataValidation>
    <dataValidation type="list" allowBlank="1" showInputMessage="1" showErrorMessage="1" sqref="H97">
      <formula1>"Yes,It Does Not Apply,Partially,I Have Done An Alternative Approach,No,No Answer"</formula1>
    </dataValidation>
    <dataValidation type="list" allowBlank="1" showInputMessage="1" showErrorMessage="1" sqref="H98">
      <formula1>"Completed,Partially Completed,Not Yet Started,No Answer"</formula1>
    </dataValidation>
    <dataValidation type="list" allowBlank="1" showInputMessage="1" showErrorMessage="1" sqref="H101">
      <formula1>"Completed,Partially Completed,Not Yet Started,No Answer"</formula1>
    </dataValidation>
    <dataValidation type="list" allowBlank="1" showInputMessage="1" showErrorMessage="1" sqref="H103">
      <formula1>"Completed,Partially Completed,Not Yet Started,No Answer"</formula1>
    </dataValidation>
    <dataValidation type="list" allowBlank="1" showInputMessage="1" showErrorMessage="1" sqref="H105">
      <formula1>"Completed,Partially Completed,Not Yet Started,No Answer"</formula1>
    </dataValidation>
  </dataValidation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 ref="A11" r:id="rId1"/>
    <hyperlink ref="A22" r:id="rId2"/>
    <hyperlink ref="A27" r:id="rId3"/>
    <hyperlink ref="A32" r:id="rId4"/>
    <hyperlink ref="A36" r:id="rId5"/>
    <hyperlink ref="A42" r:id="rId6"/>
    <hyperlink ref="A47" r:id="rId7"/>
    <hyperlink ref="A52" r:id="rId8"/>
    <hyperlink ref="A56" r:id="rId9"/>
    <hyperlink ref="A60" r:id="rId10"/>
    <hyperlink ref="A69" r:id="rId11"/>
    <hyperlink ref="A75" r:id="rId12"/>
    <hyperlink ref="A79" r:id="rId13"/>
    <hyperlink ref="A84" r:id="rId14"/>
    <hyperlink ref="A88" r:id="rId15"/>
    <hyperlink ref="A94" r:id="rId16"/>
  </hyperlinks>
  <pageMargins left="0.7" right="0.7" top="0.75" bottom="0.75" header="0.3" footer="0.3"/>
  <drawing r:id="rId17"/>
</worksheet>
</file>

<file path=xl/worksheets/sheet16.xml><?xml version="1.0" encoding="utf-8"?>
<worksheet xmlns="http://schemas.openxmlformats.org/spreadsheetml/2006/main" xmlns:r="http://schemas.openxmlformats.org/officeDocument/2006/relationships">
  <dimension ref="A1:H367"/>
  <sheetViews>
    <sheetView workbookViewId="0"/>
  </sheetViews>
  <sheetFormatPr defaultRowHeight="15"/>
  <sheetData>
    <row r="1" spans="1:8">
      <c r="A1" t="s">
        <v>517</v>
      </c>
      <c r="B1" t="s">
        <v>518</v>
      </c>
      <c r="D1" t="s">
        <v>519</v>
      </c>
      <c r="E1" t="s">
        <v>520</v>
      </c>
      <c r="G1" t="s">
        <v>607</v>
      </c>
      <c r="H1" t="s">
        <v>608</v>
      </c>
    </row>
    <row r="2" spans="1:8">
      <c r="A2">
        <v>1</v>
      </c>
      <c r="B2">
        <v>316</v>
      </c>
      <c r="D2" t="s">
        <v>166</v>
      </c>
      <c r="E2" t="s">
        <v>521</v>
      </c>
      <c r="G2">
        <f>TODAY()</f>
        <v>0</v>
      </c>
      <c r="H2">
        <f>G2-DATE(YEAR(G2),1,0)</f>
        <v>0</v>
      </c>
    </row>
    <row r="3" spans="1:8">
      <c r="A3">
        <v>2</v>
      </c>
      <c r="B3">
        <v>741</v>
      </c>
      <c r="D3" t="s">
        <v>162</v>
      </c>
      <c r="E3" t="s">
        <v>522</v>
      </c>
    </row>
    <row r="4" spans="1:8">
      <c r="A4">
        <v>3</v>
      </c>
      <c r="B4">
        <v>302</v>
      </c>
      <c r="D4" t="s">
        <v>165</v>
      </c>
      <c r="E4" t="s">
        <v>523</v>
      </c>
      <c r="G4" t="s">
        <v>609</v>
      </c>
    </row>
    <row r="5" spans="1:8">
      <c r="A5">
        <v>4</v>
      </c>
      <c r="B5">
        <v>702</v>
      </c>
      <c r="D5" t="s">
        <v>164</v>
      </c>
      <c r="E5" t="s">
        <v>524</v>
      </c>
      <c r="G5">
        <f>VLOOKUP(H2,A2:B367,2)</f>
        <v>0</v>
      </c>
    </row>
    <row r="6" spans="1:8">
      <c r="A6">
        <v>5</v>
      </c>
      <c r="B6">
        <v>944</v>
      </c>
      <c r="D6" t="s">
        <v>163</v>
      </c>
      <c r="E6" t="s">
        <v>525</v>
      </c>
    </row>
    <row r="7" spans="1:8">
      <c r="A7">
        <v>6</v>
      </c>
      <c r="B7">
        <v>620</v>
      </c>
      <c r="D7" t="s">
        <v>526</v>
      </c>
      <c r="E7" t="s">
        <v>527</v>
      </c>
    </row>
    <row r="8" spans="1:8">
      <c r="A8">
        <v>7</v>
      </c>
      <c r="B8">
        <v>655</v>
      </c>
      <c r="D8" t="s">
        <v>528</v>
      </c>
      <c r="E8" t="s">
        <v>529</v>
      </c>
    </row>
    <row r="9" spans="1:8">
      <c r="A9">
        <v>8</v>
      </c>
      <c r="B9">
        <v>643</v>
      </c>
      <c r="D9" t="s">
        <v>530</v>
      </c>
      <c r="E9" t="s">
        <v>531</v>
      </c>
    </row>
    <row r="10" spans="1:8">
      <c r="A10">
        <v>9</v>
      </c>
      <c r="B10">
        <v>623</v>
      </c>
      <c r="D10" t="s">
        <v>532</v>
      </c>
      <c r="E10" t="s">
        <v>533</v>
      </c>
    </row>
    <row r="11" spans="1:8">
      <c r="A11">
        <v>10</v>
      </c>
      <c r="B11">
        <v>602</v>
      </c>
      <c r="D11" t="s">
        <v>534</v>
      </c>
      <c r="E11" t="s">
        <v>535</v>
      </c>
    </row>
    <row r="12" spans="1:8">
      <c r="A12">
        <v>11</v>
      </c>
      <c r="B12">
        <v>203</v>
      </c>
      <c r="D12" t="s">
        <v>536</v>
      </c>
      <c r="E12" t="s">
        <v>537</v>
      </c>
    </row>
    <row r="13" spans="1:8">
      <c r="A13">
        <v>12</v>
      </c>
      <c r="B13">
        <v>254</v>
      </c>
      <c r="D13" t="s">
        <v>538</v>
      </c>
      <c r="E13" t="s">
        <v>539</v>
      </c>
    </row>
    <row r="14" spans="1:8">
      <c r="A14">
        <v>13</v>
      </c>
      <c r="B14">
        <v>954</v>
      </c>
      <c r="D14" t="s">
        <v>540</v>
      </c>
      <c r="E14" t="s">
        <v>541</v>
      </c>
    </row>
    <row r="15" spans="1:8">
      <c r="A15">
        <v>14</v>
      </c>
      <c r="B15">
        <v>631</v>
      </c>
      <c r="D15" t="s">
        <v>542</v>
      </c>
      <c r="E15" t="s">
        <v>543</v>
      </c>
    </row>
    <row r="16" spans="1:8">
      <c r="A16">
        <v>15</v>
      </c>
      <c r="B16">
        <v>16</v>
      </c>
      <c r="D16" t="s">
        <v>52</v>
      </c>
      <c r="E16" t="s">
        <v>544</v>
      </c>
    </row>
    <row r="17" spans="1:5">
      <c r="A17">
        <v>16</v>
      </c>
      <c r="B17">
        <v>143</v>
      </c>
      <c r="D17" t="s">
        <v>545</v>
      </c>
      <c r="E17" t="s">
        <v>546</v>
      </c>
    </row>
    <row r="18" spans="1:5">
      <c r="A18">
        <v>17</v>
      </c>
      <c r="B18">
        <v>247</v>
      </c>
      <c r="D18" t="s">
        <v>547</v>
      </c>
      <c r="E18" t="s">
        <v>548</v>
      </c>
    </row>
    <row r="19" spans="1:5">
      <c r="A19">
        <v>18</v>
      </c>
      <c r="B19">
        <v>827</v>
      </c>
      <c r="D19" t="s">
        <v>549</v>
      </c>
      <c r="E19" t="s">
        <v>550</v>
      </c>
    </row>
    <row r="20" spans="1:5">
      <c r="A20">
        <v>19</v>
      </c>
      <c r="B20">
        <v>262</v>
      </c>
      <c r="D20" t="s">
        <v>551</v>
      </c>
      <c r="E20" t="s">
        <v>552</v>
      </c>
    </row>
    <row r="21" spans="1:5">
      <c r="A21">
        <v>20</v>
      </c>
      <c r="B21">
        <v>613</v>
      </c>
      <c r="D21" t="s">
        <v>49</v>
      </c>
      <c r="E21" t="s">
        <v>553</v>
      </c>
    </row>
    <row r="22" spans="1:5">
      <c r="A22">
        <v>21</v>
      </c>
      <c r="B22">
        <v>695</v>
      </c>
      <c r="D22" t="s">
        <v>554</v>
      </c>
      <c r="E22" t="s">
        <v>555</v>
      </c>
    </row>
    <row r="23" spans="1:5">
      <c r="A23">
        <v>22</v>
      </c>
      <c r="B23">
        <v>644</v>
      </c>
      <c r="D23" t="s">
        <v>556</v>
      </c>
      <c r="E23" t="s">
        <v>557</v>
      </c>
    </row>
    <row r="24" spans="1:5">
      <c r="A24">
        <v>23</v>
      </c>
      <c r="B24">
        <v>895</v>
      </c>
      <c r="D24" t="s">
        <v>47</v>
      </c>
      <c r="E24" t="s">
        <v>558</v>
      </c>
    </row>
    <row r="25" spans="1:5">
      <c r="A25">
        <v>24</v>
      </c>
      <c r="B25">
        <v>296</v>
      </c>
      <c r="D25" t="s">
        <v>559</v>
      </c>
      <c r="E25" t="s">
        <v>560</v>
      </c>
    </row>
    <row r="26" spans="1:5">
      <c r="A26">
        <v>25</v>
      </c>
      <c r="B26">
        <v>645</v>
      </c>
      <c r="D26" t="s">
        <v>561</v>
      </c>
      <c r="E26" t="s">
        <v>562</v>
      </c>
    </row>
    <row r="27" spans="1:5">
      <c r="A27">
        <v>26</v>
      </c>
      <c r="B27">
        <v>676</v>
      </c>
      <c r="D27" t="s">
        <v>563</v>
      </c>
      <c r="E27" t="s">
        <v>564</v>
      </c>
    </row>
    <row r="28" spans="1:5">
      <c r="A28">
        <v>27</v>
      </c>
      <c r="B28">
        <v>382</v>
      </c>
      <c r="D28" t="s">
        <v>565</v>
      </c>
      <c r="E28" t="s">
        <v>566</v>
      </c>
    </row>
    <row r="29" spans="1:5">
      <c r="A29">
        <v>28</v>
      </c>
      <c r="B29">
        <v>469</v>
      </c>
      <c r="D29" t="s">
        <v>50</v>
      </c>
      <c r="E29" t="s">
        <v>567</v>
      </c>
    </row>
    <row r="30" spans="1:5">
      <c r="A30">
        <v>29</v>
      </c>
      <c r="B30">
        <v>604</v>
      </c>
      <c r="D30" t="s">
        <v>51</v>
      </c>
      <c r="E30" t="s">
        <v>568</v>
      </c>
    </row>
    <row r="31" spans="1:5">
      <c r="A31">
        <v>30</v>
      </c>
      <c r="B31">
        <v>181</v>
      </c>
      <c r="D31" t="s">
        <v>54</v>
      </c>
      <c r="E31" t="s">
        <v>569</v>
      </c>
    </row>
    <row r="32" spans="1:5">
      <c r="A32">
        <v>31</v>
      </c>
      <c r="B32">
        <v>346</v>
      </c>
      <c r="D32" t="s">
        <v>570</v>
      </c>
      <c r="E32" t="s">
        <v>571</v>
      </c>
    </row>
    <row r="33" spans="1:5">
      <c r="A33">
        <v>32</v>
      </c>
      <c r="B33">
        <v>76</v>
      </c>
      <c r="D33" t="s">
        <v>48</v>
      </c>
      <c r="E33" t="s">
        <v>572</v>
      </c>
    </row>
    <row r="34" spans="1:5">
      <c r="A34">
        <v>33</v>
      </c>
      <c r="B34">
        <v>353</v>
      </c>
      <c r="D34" t="s">
        <v>53</v>
      </c>
      <c r="E34" t="s">
        <v>573</v>
      </c>
    </row>
    <row r="35" spans="1:5">
      <c r="A35">
        <v>34</v>
      </c>
      <c r="B35">
        <v>117</v>
      </c>
      <c r="D35" t="s">
        <v>574</v>
      </c>
      <c r="E35" t="s">
        <v>575</v>
      </c>
    </row>
    <row r="36" spans="1:5">
      <c r="A36">
        <v>35</v>
      </c>
      <c r="B36">
        <v>570</v>
      </c>
      <c r="D36" t="s">
        <v>576</v>
      </c>
      <c r="E36" t="s">
        <v>577</v>
      </c>
    </row>
    <row r="37" spans="1:5">
      <c r="A37">
        <v>36</v>
      </c>
      <c r="B37">
        <v>498</v>
      </c>
      <c r="D37" t="s">
        <v>578</v>
      </c>
      <c r="E37" t="s">
        <v>579</v>
      </c>
    </row>
    <row r="38" spans="1:5">
      <c r="A38">
        <v>37</v>
      </c>
      <c r="B38">
        <v>913</v>
      </c>
      <c r="D38" t="s">
        <v>580</v>
      </c>
      <c r="E38" t="s">
        <v>581</v>
      </c>
    </row>
    <row r="39" spans="1:5">
      <c r="A39">
        <v>38</v>
      </c>
      <c r="B39">
        <v>912</v>
      </c>
      <c r="D39" t="s">
        <v>582</v>
      </c>
      <c r="E39" t="s">
        <v>583</v>
      </c>
    </row>
    <row r="40" spans="1:5">
      <c r="A40">
        <v>39</v>
      </c>
      <c r="B40">
        <v>849</v>
      </c>
      <c r="D40" t="s">
        <v>584</v>
      </c>
      <c r="E40" t="s">
        <v>585</v>
      </c>
    </row>
    <row r="41" spans="1:5">
      <c r="A41">
        <v>40</v>
      </c>
      <c r="B41">
        <v>829</v>
      </c>
      <c r="D41" t="s">
        <v>586</v>
      </c>
      <c r="E41" t="s">
        <v>587</v>
      </c>
    </row>
    <row r="42" spans="1:5">
      <c r="A42">
        <v>41</v>
      </c>
      <c r="B42">
        <v>527</v>
      </c>
      <c r="D42" t="s">
        <v>588</v>
      </c>
      <c r="E42" t="s">
        <v>589</v>
      </c>
    </row>
    <row r="43" spans="1:5">
      <c r="A43">
        <v>42</v>
      </c>
      <c r="B43">
        <v>776</v>
      </c>
      <c r="D43" t="s">
        <v>590</v>
      </c>
      <c r="E43" t="s">
        <v>591</v>
      </c>
    </row>
    <row r="44" spans="1:5">
      <c r="A44">
        <v>43</v>
      </c>
      <c r="B44">
        <v>528</v>
      </c>
      <c r="D44" t="s">
        <v>592</v>
      </c>
      <c r="E44" t="s">
        <v>593</v>
      </c>
    </row>
    <row r="45" spans="1:5">
      <c r="A45">
        <v>44</v>
      </c>
      <c r="B45">
        <v>680</v>
      </c>
      <c r="D45" t="s">
        <v>594</v>
      </c>
      <c r="E45" t="s">
        <v>595</v>
      </c>
    </row>
    <row r="46" spans="1:5">
      <c r="A46">
        <v>45</v>
      </c>
      <c r="B46">
        <v>196</v>
      </c>
      <c r="D46" t="s">
        <v>596</v>
      </c>
      <c r="E46" t="s">
        <v>597</v>
      </c>
    </row>
    <row r="47" spans="1:5">
      <c r="A47">
        <v>46</v>
      </c>
      <c r="B47">
        <v>851</v>
      </c>
      <c r="D47" t="s">
        <v>598</v>
      </c>
      <c r="E47" t="s">
        <v>599</v>
      </c>
    </row>
    <row r="48" spans="1:5">
      <c r="A48">
        <v>47</v>
      </c>
      <c r="B48">
        <v>542</v>
      </c>
      <c r="D48" t="s">
        <v>600</v>
      </c>
      <c r="E48" t="s">
        <v>601</v>
      </c>
    </row>
    <row r="49" spans="1:5">
      <c r="A49">
        <v>48</v>
      </c>
      <c r="B49">
        <v>166</v>
      </c>
      <c r="D49" t="s">
        <v>602</v>
      </c>
      <c r="E49" t="s">
        <v>603</v>
      </c>
    </row>
    <row r="50" spans="1:5">
      <c r="A50">
        <v>49</v>
      </c>
      <c r="B50">
        <v>516</v>
      </c>
      <c r="D50" t="s">
        <v>604</v>
      </c>
      <c r="E50" t="s">
        <v>605</v>
      </c>
    </row>
    <row r="51" spans="1:5">
      <c r="A51">
        <v>50</v>
      </c>
      <c r="B51">
        <v>213</v>
      </c>
      <c r="D51" t="s">
        <v>46</v>
      </c>
      <c r="E51" t="s">
        <v>606</v>
      </c>
    </row>
    <row r="52" spans="1:5">
      <c r="A52">
        <v>51</v>
      </c>
      <c r="B52">
        <v>617</v>
      </c>
    </row>
    <row r="53" spans="1:5">
      <c r="A53">
        <v>52</v>
      </c>
      <c r="B53">
        <v>653</v>
      </c>
    </row>
    <row r="54" spans="1:5">
      <c r="A54">
        <v>53</v>
      </c>
      <c r="B54">
        <v>638</v>
      </c>
    </row>
    <row r="55" spans="1:5">
      <c r="A55">
        <v>54</v>
      </c>
      <c r="B55">
        <v>853</v>
      </c>
    </row>
    <row r="56" spans="1:5">
      <c r="A56">
        <v>55</v>
      </c>
      <c r="B56">
        <v>630</v>
      </c>
    </row>
    <row r="57" spans="1:5">
      <c r="A57">
        <v>56</v>
      </c>
      <c r="B57">
        <v>625</v>
      </c>
    </row>
    <row r="58" spans="1:5">
      <c r="A58">
        <v>57</v>
      </c>
      <c r="B58">
        <v>592</v>
      </c>
    </row>
    <row r="59" spans="1:5">
      <c r="A59">
        <v>58</v>
      </c>
      <c r="B59">
        <v>415</v>
      </c>
    </row>
    <row r="60" spans="1:5">
      <c r="A60">
        <v>59</v>
      </c>
      <c r="B60">
        <v>744</v>
      </c>
    </row>
    <row r="61" spans="1:5">
      <c r="A61">
        <v>60</v>
      </c>
      <c r="B61">
        <v>123</v>
      </c>
    </row>
    <row r="62" spans="1:5">
      <c r="A62">
        <v>61</v>
      </c>
      <c r="B62">
        <v>486</v>
      </c>
    </row>
    <row r="63" spans="1:5">
      <c r="A63">
        <v>62</v>
      </c>
      <c r="B63">
        <v>605</v>
      </c>
    </row>
    <row r="64" spans="1:5">
      <c r="A64">
        <v>63</v>
      </c>
      <c r="B64">
        <v>182</v>
      </c>
    </row>
    <row r="65" spans="1:2">
      <c r="A65">
        <v>64</v>
      </c>
      <c r="B65">
        <v>13</v>
      </c>
    </row>
    <row r="66" spans="1:2">
      <c r="A66">
        <v>65</v>
      </c>
      <c r="B66">
        <v>535</v>
      </c>
    </row>
    <row r="67" spans="1:2">
      <c r="A67">
        <v>66</v>
      </c>
      <c r="B67">
        <v>813</v>
      </c>
    </row>
    <row r="68" spans="1:2">
      <c r="A68">
        <v>67</v>
      </c>
      <c r="B68">
        <v>432</v>
      </c>
    </row>
    <row r="69" spans="1:2">
      <c r="A69">
        <v>68</v>
      </c>
      <c r="B69">
        <v>281</v>
      </c>
    </row>
    <row r="70" spans="1:2">
      <c r="A70">
        <v>69</v>
      </c>
      <c r="B70">
        <v>883</v>
      </c>
    </row>
    <row r="71" spans="1:2">
      <c r="A71">
        <v>70</v>
      </c>
      <c r="B71">
        <v>273</v>
      </c>
    </row>
    <row r="72" spans="1:2">
      <c r="A72">
        <v>71</v>
      </c>
      <c r="B72">
        <v>336</v>
      </c>
    </row>
    <row r="73" spans="1:2">
      <c r="A73">
        <v>72</v>
      </c>
      <c r="B73">
        <v>62</v>
      </c>
    </row>
    <row r="74" spans="1:2">
      <c r="A74">
        <v>73</v>
      </c>
      <c r="B74">
        <v>9</v>
      </c>
    </row>
    <row r="75" spans="1:2">
      <c r="A75">
        <v>74</v>
      </c>
      <c r="B75">
        <v>551</v>
      </c>
    </row>
    <row r="76" spans="1:2">
      <c r="A76">
        <v>75</v>
      </c>
      <c r="B76">
        <v>470</v>
      </c>
    </row>
    <row r="77" spans="1:2">
      <c r="A77">
        <v>76</v>
      </c>
      <c r="B77">
        <v>192</v>
      </c>
    </row>
    <row r="78" spans="1:2">
      <c r="A78">
        <v>77</v>
      </c>
      <c r="B78">
        <v>951</v>
      </c>
    </row>
    <row r="79" spans="1:2">
      <c r="A79">
        <v>78</v>
      </c>
      <c r="B79">
        <v>308</v>
      </c>
    </row>
    <row r="80" spans="1:2">
      <c r="A80">
        <v>79</v>
      </c>
      <c r="B80">
        <v>546</v>
      </c>
    </row>
    <row r="81" spans="1:2">
      <c r="A81">
        <v>80</v>
      </c>
      <c r="B81">
        <v>731</v>
      </c>
    </row>
    <row r="82" spans="1:2">
      <c r="A82">
        <v>81</v>
      </c>
      <c r="B82">
        <v>213</v>
      </c>
    </row>
    <row r="83" spans="1:2">
      <c r="A83">
        <v>82</v>
      </c>
      <c r="B83">
        <v>68</v>
      </c>
    </row>
    <row r="84" spans="1:2">
      <c r="A84">
        <v>83</v>
      </c>
      <c r="B84">
        <v>866</v>
      </c>
    </row>
    <row r="85" spans="1:2">
      <c r="A85">
        <v>84</v>
      </c>
      <c r="B85">
        <v>280</v>
      </c>
    </row>
    <row r="86" spans="1:2">
      <c r="A86">
        <v>85</v>
      </c>
      <c r="B86">
        <v>57</v>
      </c>
    </row>
    <row r="87" spans="1:2">
      <c r="A87">
        <v>86</v>
      </c>
      <c r="B87">
        <v>847</v>
      </c>
    </row>
    <row r="88" spans="1:2">
      <c r="A88">
        <v>87</v>
      </c>
      <c r="B88">
        <v>368</v>
      </c>
    </row>
    <row r="89" spans="1:2">
      <c r="A89">
        <v>88</v>
      </c>
      <c r="B89">
        <v>707</v>
      </c>
    </row>
    <row r="90" spans="1:2">
      <c r="A90">
        <v>89</v>
      </c>
      <c r="B90">
        <v>677</v>
      </c>
    </row>
    <row r="91" spans="1:2">
      <c r="A91">
        <v>90</v>
      </c>
      <c r="B91">
        <v>330</v>
      </c>
    </row>
    <row r="92" spans="1:2">
      <c r="A92">
        <v>91</v>
      </c>
      <c r="B92">
        <v>352</v>
      </c>
    </row>
    <row r="93" spans="1:2">
      <c r="A93">
        <v>92</v>
      </c>
      <c r="B93">
        <v>90</v>
      </c>
    </row>
    <row r="94" spans="1:2">
      <c r="A94">
        <v>93</v>
      </c>
      <c r="B94">
        <v>395</v>
      </c>
    </row>
    <row r="95" spans="1:2">
      <c r="A95">
        <v>94</v>
      </c>
      <c r="B95">
        <v>841</v>
      </c>
    </row>
    <row r="96" spans="1:2">
      <c r="A96">
        <v>95</v>
      </c>
      <c r="B96">
        <v>574</v>
      </c>
    </row>
    <row r="97" spans="1:2">
      <c r="A97">
        <v>96</v>
      </c>
      <c r="B97">
        <v>124</v>
      </c>
    </row>
    <row r="98" spans="1:2">
      <c r="A98">
        <v>97</v>
      </c>
      <c r="B98">
        <v>870</v>
      </c>
    </row>
    <row r="99" spans="1:2">
      <c r="A99">
        <v>98</v>
      </c>
      <c r="B99">
        <v>478</v>
      </c>
    </row>
    <row r="100" spans="1:2">
      <c r="A100">
        <v>99</v>
      </c>
      <c r="B100">
        <v>936</v>
      </c>
    </row>
    <row r="101" spans="1:2">
      <c r="A101">
        <v>100</v>
      </c>
      <c r="B101">
        <v>914</v>
      </c>
    </row>
    <row r="102" spans="1:2">
      <c r="A102">
        <v>101</v>
      </c>
      <c r="B102">
        <v>483</v>
      </c>
    </row>
    <row r="103" spans="1:2">
      <c r="A103">
        <v>102</v>
      </c>
      <c r="B103">
        <v>213</v>
      </c>
    </row>
    <row r="104" spans="1:2">
      <c r="A104">
        <v>103</v>
      </c>
      <c r="B104">
        <v>368</v>
      </c>
    </row>
    <row r="105" spans="1:2">
      <c r="A105">
        <v>104</v>
      </c>
      <c r="B105">
        <v>30</v>
      </c>
    </row>
    <row r="106" spans="1:2">
      <c r="A106">
        <v>105</v>
      </c>
      <c r="B106">
        <v>599</v>
      </c>
    </row>
    <row r="107" spans="1:2">
      <c r="A107">
        <v>106</v>
      </c>
      <c r="B107">
        <v>16</v>
      </c>
    </row>
    <row r="108" spans="1:2">
      <c r="A108">
        <v>107</v>
      </c>
      <c r="B108">
        <v>112</v>
      </c>
    </row>
    <row r="109" spans="1:2">
      <c r="A109">
        <v>108</v>
      </c>
      <c r="B109">
        <v>80</v>
      </c>
    </row>
    <row r="110" spans="1:2">
      <c r="A110">
        <v>109</v>
      </c>
      <c r="B110">
        <v>698</v>
      </c>
    </row>
    <row r="111" spans="1:2">
      <c r="A111">
        <v>110</v>
      </c>
      <c r="B111">
        <v>958</v>
      </c>
    </row>
    <row r="112" spans="1:2">
      <c r="A112">
        <v>111</v>
      </c>
      <c r="B112">
        <v>607</v>
      </c>
    </row>
    <row r="113" spans="1:2">
      <c r="A113">
        <v>112</v>
      </c>
      <c r="B113">
        <v>228</v>
      </c>
    </row>
    <row r="114" spans="1:2">
      <c r="A114">
        <v>113</v>
      </c>
      <c r="B114">
        <v>241</v>
      </c>
    </row>
    <row r="115" spans="1:2">
      <c r="A115">
        <v>114</v>
      </c>
      <c r="B115">
        <v>5</v>
      </c>
    </row>
    <row r="116" spans="1:2">
      <c r="A116">
        <v>115</v>
      </c>
      <c r="B116">
        <v>245</v>
      </c>
    </row>
    <row r="117" spans="1:2">
      <c r="A117">
        <v>116</v>
      </c>
      <c r="B117">
        <v>177</v>
      </c>
    </row>
    <row r="118" spans="1:2">
      <c r="A118">
        <v>117</v>
      </c>
      <c r="B118">
        <v>585</v>
      </c>
    </row>
    <row r="119" spans="1:2">
      <c r="A119">
        <v>118</v>
      </c>
      <c r="B119">
        <v>129</v>
      </c>
    </row>
    <row r="120" spans="1:2">
      <c r="A120">
        <v>119</v>
      </c>
      <c r="B120">
        <v>262</v>
      </c>
    </row>
    <row r="121" spans="1:2">
      <c r="A121">
        <v>120</v>
      </c>
      <c r="B121">
        <v>870</v>
      </c>
    </row>
    <row r="122" spans="1:2">
      <c r="A122">
        <v>121</v>
      </c>
      <c r="B122">
        <v>541</v>
      </c>
    </row>
    <row r="123" spans="1:2">
      <c r="A123">
        <v>122</v>
      </c>
      <c r="B123">
        <v>424</v>
      </c>
    </row>
    <row r="124" spans="1:2">
      <c r="A124">
        <v>123</v>
      </c>
      <c r="B124">
        <v>450</v>
      </c>
    </row>
    <row r="125" spans="1:2">
      <c r="A125">
        <v>124</v>
      </c>
      <c r="B125">
        <v>573</v>
      </c>
    </row>
    <row r="126" spans="1:2">
      <c r="A126">
        <v>125</v>
      </c>
      <c r="B126">
        <v>578</v>
      </c>
    </row>
    <row r="127" spans="1:2">
      <c r="A127">
        <v>126</v>
      </c>
      <c r="B127">
        <v>969</v>
      </c>
    </row>
    <row r="128" spans="1:2">
      <c r="A128">
        <v>127</v>
      </c>
      <c r="B128">
        <v>527</v>
      </c>
    </row>
    <row r="129" spans="1:2">
      <c r="A129">
        <v>128</v>
      </c>
      <c r="B129">
        <v>61</v>
      </c>
    </row>
    <row r="130" spans="1:2">
      <c r="A130">
        <v>129</v>
      </c>
      <c r="B130">
        <v>141</v>
      </c>
    </row>
    <row r="131" spans="1:2">
      <c r="A131">
        <v>130</v>
      </c>
      <c r="B131">
        <v>695</v>
      </c>
    </row>
    <row r="132" spans="1:2">
      <c r="A132">
        <v>131</v>
      </c>
      <c r="B132">
        <v>492</v>
      </c>
    </row>
    <row r="133" spans="1:2">
      <c r="A133">
        <v>132</v>
      </c>
      <c r="B133">
        <v>73</v>
      </c>
    </row>
    <row r="134" spans="1:2">
      <c r="A134">
        <v>133</v>
      </c>
      <c r="B134">
        <v>758</v>
      </c>
    </row>
    <row r="135" spans="1:2">
      <c r="A135">
        <v>134</v>
      </c>
      <c r="B135">
        <v>433</v>
      </c>
    </row>
    <row r="136" spans="1:2">
      <c r="A136">
        <v>135</v>
      </c>
      <c r="B136">
        <v>584</v>
      </c>
    </row>
    <row r="137" spans="1:2">
      <c r="A137">
        <v>136</v>
      </c>
      <c r="B137">
        <v>780</v>
      </c>
    </row>
    <row r="138" spans="1:2">
      <c r="A138">
        <v>137</v>
      </c>
      <c r="B138">
        <v>889</v>
      </c>
    </row>
    <row r="139" spans="1:2">
      <c r="A139">
        <v>138</v>
      </c>
      <c r="B139">
        <v>927</v>
      </c>
    </row>
    <row r="140" spans="1:2">
      <c r="A140">
        <v>139</v>
      </c>
      <c r="B140">
        <v>432</v>
      </c>
    </row>
    <row r="141" spans="1:2">
      <c r="A141">
        <v>140</v>
      </c>
      <c r="B141">
        <v>859</v>
      </c>
    </row>
    <row r="142" spans="1:2">
      <c r="A142">
        <v>141</v>
      </c>
      <c r="B142">
        <v>553</v>
      </c>
    </row>
    <row r="143" spans="1:2">
      <c r="A143">
        <v>142</v>
      </c>
      <c r="B143">
        <v>959</v>
      </c>
    </row>
    <row r="144" spans="1:2">
      <c r="A144">
        <v>143</v>
      </c>
      <c r="B144">
        <v>829</v>
      </c>
    </row>
    <row r="145" spans="1:2">
      <c r="A145">
        <v>144</v>
      </c>
      <c r="B145">
        <v>758</v>
      </c>
    </row>
    <row r="146" spans="1:2">
      <c r="A146">
        <v>145</v>
      </c>
      <c r="B146">
        <v>577</v>
      </c>
    </row>
    <row r="147" spans="1:2">
      <c r="A147">
        <v>146</v>
      </c>
      <c r="B147">
        <v>908</v>
      </c>
    </row>
    <row r="148" spans="1:2">
      <c r="A148">
        <v>147</v>
      </c>
      <c r="B148">
        <v>708</v>
      </c>
    </row>
    <row r="149" spans="1:2">
      <c r="A149">
        <v>148</v>
      </c>
      <c r="B149">
        <v>557</v>
      </c>
    </row>
    <row r="150" spans="1:2">
      <c r="A150">
        <v>149</v>
      </c>
      <c r="B150">
        <v>92</v>
      </c>
    </row>
    <row r="151" spans="1:2">
      <c r="A151">
        <v>150</v>
      </c>
      <c r="B151">
        <v>676</v>
      </c>
    </row>
    <row r="152" spans="1:2">
      <c r="A152">
        <v>151</v>
      </c>
      <c r="B152">
        <v>665</v>
      </c>
    </row>
    <row r="153" spans="1:2">
      <c r="A153">
        <v>152</v>
      </c>
      <c r="B153">
        <v>566</v>
      </c>
    </row>
    <row r="154" spans="1:2">
      <c r="A154">
        <v>153</v>
      </c>
      <c r="B154">
        <v>452</v>
      </c>
    </row>
    <row r="155" spans="1:2">
      <c r="A155">
        <v>154</v>
      </c>
      <c r="B155">
        <v>219</v>
      </c>
    </row>
    <row r="156" spans="1:2">
      <c r="A156">
        <v>155</v>
      </c>
      <c r="B156">
        <v>639</v>
      </c>
    </row>
    <row r="157" spans="1:2">
      <c r="A157">
        <v>156</v>
      </c>
      <c r="B157">
        <v>41</v>
      </c>
    </row>
    <row r="158" spans="1:2">
      <c r="A158">
        <v>157</v>
      </c>
      <c r="B158">
        <v>487</v>
      </c>
    </row>
    <row r="159" spans="1:2">
      <c r="A159">
        <v>158</v>
      </c>
      <c r="B159">
        <v>535</v>
      </c>
    </row>
    <row r="160" spans="1:2">
      <c r="A160">
        <v>159</v>
      </c>
      <c r="B160">
        <v>254</v>
      </c>
    </row>
    <row r="161" spans="1:2">
      <c r="A161">
        <v>160</v>
      </c>
      <c r="B161">
        <v>97</v>
      </c>
    </row>
    <row r="162" spans="1:2">
      <c r="A162">
        <v>161</v>
      </c>
      <c r="B162">
        <v>856</v>
      </c>
    </row>
    <row r="163" spans="1:2">
      <c r="A163">
        <v>162</v>
      </c>
      <c r="B163">
        <v>711</v>
      </c>
    </row>
    <row r="164" spans="1:2">
      <c r="A164">
        <v>163</v>
      </c>
      <c r="B164">
        <v>994</v>
      </c>
    </row>
    <row r="165" spans="1:2">
      <c r="A165">
        <v>164</v>
      </c>
      <c r="B165">
        <v>28</v>
      </c>
    </row>
    <row r="166" spans="1:2">
      <c r="A166">
        <v>165</v>
      </c>
      <c r="B166">
        <v>305</v>
      </c>
    </row>
    <row r="167" spans="1:2">
      <c r="A167">
        <v>166</v>
      </c>
      <c r="B167">
        <v>15</v>
      </c>
    </row>
    <row r="168" spans="1:2">
      <c r="A168">
        <v>167</v>
      </c>
      <c r="B168">
        <v>728</v>
      </c>
    </row>
    <row r="169" spans="1:2">
      <c r="A169">
        <v>168</v>
      </c>
      <c r="B169">
        <v>78</v>
      </c>
    </row>
    <row r="170" spans="1:2">
      <c r="A170">
        <v>169</v>
      </c>
      <c r="B170">
        <v>289</v>
      </c>
    </row>
    <row r="171" spans="1:2">
      <c r="A171">
        <v>170</v>
      </c>
      <c r="B171">
        <v>908</v>
      </c>
    </row>
    <row r="172" spans="1:2">
      <c r="A172">
        <v>171</v>
      </c>
      <c r="B172">
        <v>673</v>
      </c>
    </row>
    <row r="173" spans="1:2">
      <c r="A173">
        <v>172</v>
      </c>
      <c r="B173">
        <v>469</v>
      </c>
    </row>
    <row r="174" spans="1:2">
      <c r="A174">
        <v>173</v>
      </c>
      <c r="B174">
        <v>541</v>
      </c>
    </row>
    <row r="175" spans="1:2">
      <c r="A175">
        <v>174</v>
      </c>
      <c r="B175">
        <v>44</v>
      </c>
    </row>
    <row r="176" spans="1:2">
      <c r="A176">
        <v>175</v>
      </c>
      <c r="B176">
        <v>415</v>
      </c>
    </row>
    <row r="177" spans="1:2">
      <c r="A177">
        <v>176</v>
      </c>
      <c r="B177">
        <v>605</v>
      </c>
    </row>
    <row r="178" spans="1:2">
      <c r="A178">
        <v>177</v>
      </c>
      <c r="B178">
        <v>348</v>
      </c>
    </row>
    <row r="179" spans="1:2">
      <c r="A179">
        <v>178</v>
      </c>
      <c r="B179">
        <v>80</v>
      </c>
    </row>
    <row r="180" spans="1:2">
      <c r="A180">
        <v>179</v>
      </c>
      <c r="B180">
        <v>288</v>
      </c>
    </row>
    <row r="181" spans="1:2">
      <c r="A181">
        <v>180</v>
      </c>
      <c r="B181">
        <v>427</v>
      </c>
    </row>
    <row r="182" spans="1:2">
      <c r="A182">
        <v>181</v>
      </c>
      <c r="B182">
        <v>52</v>
      </c>
    </row>
    <row r="183" spans="1:2">
      <c r="A183">
        <v>182</v>
      </c>
      <c r="B183">
        <v>494</v>
      </c>
    </row>
    <row r="184" spans="1:2">
      <c r="A184">
        <v>183</v>
      </c>
      <c r="B184">
        <v>341</v>
      </c>
    </row>
    <row r="185" spans="1:2">
      <c r="A185">
        <v>184</v>
      </c>
      <c r="B185">
        <v>52</v>
      </c>
    </row>
    <row r="186" spans="1:2">
      <c r="A186">
        <v>185</v>
      </c>
      <c r="B186">
        <v>677</v>
      </c>
    </row>
    <row r="187" spans="1:2">
      <c r="A187">
        <v>186</v>
      </c>
      <c r="B187">
        <v>547</v>
      </c>
    </row>
    <row r="188" spans="1:2">
      <c r="A188">
        <v>187</v>
      </c>
      <c r="B188">
        <v>323</v>
      </c>
    </row>
    <row r="189" spans="1:2">
      <c r="A189">
        <v>188</v>
      </c>
      <c r="B189">
        <v>793</v>
      </c>
    </row>
    <row r="190" spans="1:2">
      <c r="A190">
        <v>189</v>
      </c>
      <c r="B190">
        <v>904</v>
      </c>
    </row>
    <row r="191" spans="1:2">
      <c r="A191">
        <v>190</v>
      </c>
      <c r="B191">
        <v>741</v>
      </c>
    </row>
    <row r="192" spans="1:2">
      <c r="A192">
        <v>191</v>
      </c>
      <c r="B192">
        <v>119</v>
      </c>
    </row>
    <row r="193" spans="1:2">
      <c r="A193">
        <v>192</v>
      </c>
      <c r="B193">
        <v>546</v>
      </c>
    </row>
    <row r="194" spans="1:2">
      <c r="A194">
        <v>193</v>
      </c>
      <c r="B194">
        <v>590</v>
      </c>
    </row>
    <row r="195" spans="1:2">
      <c r="A195">
        <v>194</v>
      </c>
      <c r="B195">
        <v>726</v>
      </c>
    </row>
    <row r="196" spans="1:2">
      <c r="A196">
        <v>195</v>
      </c>
      <c r="B196">
        <v>839</v>
      </c>
    </row>
    <row r="197" spans="1:2">
      <c r="A197">
        <v>196</v>
      </c>
      <c r="B197">
        <v>314</v>
      </c>
    </row>
    <row r="198" spans="1:2">
      <c r="A198">
        <v>197</v>
      </c>
      <c r="B198">
        <v>648</v>
      </c>
    </row>
    <row r="199" spans="1:2">
      <c r="A199">
        <v>198</v>
      </c>
      <c r="B199">
        <v>795</v>
      </c>
    </row>
    <row r="200" spans="1:2">
      <c r="A200">
        <v>199</v>
      </c>
      <c r="B200">
        <v>600</v>
      </c>
    </row>
    <row r="201" spans="1:2">
      <c r="A201">
        <v>200</v>
      </c>
      <c r="B201">
        <v>808</v>
      </c>
    </row>
    <row r="202" spans="1:2">
      <c r="A202">
        <v>201</v>
      </c>
      <c r="B202">
        <v>799</v>
      </c>
    </row>
    <row r="203" spans="1:2">
      <c r="A203">
        <v>202</v>
      </c>
      <c r="B203">
        <v>740</v>
      </c>
    </row>
    <row r="204" spans="1:2">
      <c r="A204">
        <v>203</v>
      </c>
      <c r="B204">
        <v>536</v>
      </c>
    </row>
    <row r="205" spans="1:2">
      <c r="A205">
        <v>204</v>
      </c>
      <c r="B205">
        <v>985</v>
      </c>
    </row>
    <row r="206" spans="1:2">
      <c r="A206">
        <v>205</v>
      </c>
      <c r="B206">
        <v>252</v>
      </c>
    </row>
    <row r="207" spans="1:2">
      <c r="A207">
        <v>206</v>
      </c>
      <c r="B207">
        <v>101</v>
      </c>
    </row>
    <row r="208" spans="1:2">
      <c r="A208">
        <v>207</v>
      </c>
      <c r="B208">
        <v>583</v>
      </c>
    </row>
    <row r="209" spans="1:2">
      <c r="A209">
        <v>208</v>
      </c>
      <c r="B209">
        <v>688</v>
      </c>
    </row>
    <row r="210" spans="1:2">
      <c r="A210">
        <v>209</v>
      </c>
      <c r="B210">
        <v>557</v>
      </c>
    </row>
    <row r="211" spans="1:2">
      <c r="A211">
        <v>210</v>
      </c>
      <c r="B211">
        <v>767</v>
      </c>
    </row>
    <row r="212" spans="1:2">
      <c r="A212">
        <v>211</v>
      </c>
      <c r="B212">
        <v>469</v>
      </c>
    </row>
    <row r="213" spans="1:2">
      <c r="A213">
        <v>212</v>
      </c>
      <c r="B213">
        <v>896</v>
      </c>
    </row>
    <row r="214" spans="1:2">
      <c r="A214">
        <v>213</v>
      </c>
      <c r="B214">
        <v>555</v>
      </c>
    </row>
    <row r="215" spans="1:2">
      <c r="A215">
        <v>214</v>
      </c>
      <c r="B215">
        <v>40</v>
      </c>
    </row>
    <row r="216" spans="1:2">
      <c r="A216">
        <v>215</v>
      </c>
      <c r="B216">
        <v>472</v>
      </c>
    </row>
    <row r="217" spans="1:2">
      <c r="A217">
        <v>216</v>
      </c>
      <c r="B217">
        <v>235</v>
      </c>
    </row>
    <row r="218" spans="1:2">
      <c r="A218">
        <v>217</v>
      </c>
      <c r="B218">
        <v>569</v>
      </c>
    </row>
    <row r="219" spans="1:2">
      <c r="A219">
        <v>218</v>
      </c>
      <c r="B219">
        <v>143</v>
      </c>
    </row>
    <row r="220" spans="1:2">
      <c r="A220">
        <v>219</v>
      </c>
      <c r="B220">
        <v>995</v>
      </c>
    </row>
    <row r="221" spans="1:2">
      <c r="A221">
        <v>220</v>
      </c>
      <c r="B221">
        <v>981</v>
      </c>
    </row>
    <row r="222" spans="1:2">
      <c r="A222">
        <v>221</v>
      </c>
      <c r="B222">
        <v>276</v>
      </c>
    </row>
    <row r="223" spans="1:2">
      <c r="A223">
        <v>222</v>
      </c>
      <c r="B223">
        <v>780</v>
      </c>
    </row>
    <row r="224" spans="1:2">
      <c r="A224">
        <v>223</v>
      </c>
      <c r="B224">
        <v>110</v>
      </c>
    </row>
    <row r="225" spans="1:2">
      <c r="A225">
        <v>224</v>
      </c>
      <c r="B225">
        <v>371</v>
      </c>
    </row>
    <row r="226" spans="1:2">
      <c r="A226">
        <v>225</v>
      </c>
      <c r="B226">
        <v>535</v>
      </c>
    </row>
    <row r="227" spans="1:2">
      <c r="A227">
        <v>226</v>
      </c>
      <c r="B227">
        <v>395</v>
      </c>
    </row>
    <row r="228" spans="1:2">
      <c r="A228">
        <v>227</v>
      </c>
      <c r="B228">
        <v>555</v>
      </c>
    </row>
    <row r="229" spans="1:2">
      <c r="A229">
        <v>228</v>
      </c>
      <c r="B229">
        <v>944</v>
      </c>
    </row>
    <row r="230" spans="1:2">
      <c r="A230">
        <v>229</v>
      </c>
      <c r="B230">
        <v>881</v>
      </c>
    </row>
    <row r="231" spans="1:2">
      <c r="A231">
        <v>230</v>
      </c>
      <c r="B231">
        <v>194</v>
      </c>
    </row>
    <row r="232" spans="1:2">
      <c r="A232">
        <v>231</v>
      </c>
      <c r="B232">
        <v>158</v>
      </c>
    </row>
    <row r="233" spans="1:2">
      <c r="A233">
        <v>232</v>
      </c>
      <c r="B233">
        <v>114</v>
      </c>
    </row>
    <row r="234" spans="1:2">
      <c r="A234">
        <v>233</v>
      </c>
      <c r="B234">
        <v>581</v>
      </c>
    </row>
    <row r="235" spans="1:2">
      <c r="A235">
        <v>234</v>
      </c>
      <c r="B235">
        <v>13</v>
      </c>
    </row>
    <row r="236" spans="1:2">
      <c r="A236">
        <v>235</v>
      </c>
      <c r="B236">
        <v>883</v>
      </c>
    </row>
    <row r="237" spans="1:2">
      <c r="A237">
        <v>236</v>
      </c>
      <c r="B237">
        <v>590</v>
      </c>
    </row>
    <row r="238" spans="1:2">
      <c r="A238">
        <v>237</v>
      </c>
      <c r="B238">
        <v>215</v>
      </c>
    </row>
    <row r="239" spans="1:2">
      <c r="A239">
        <v>238</v>
      </c>
      <c r="B239">
        <v>858</v>
      </c>
    </row>
    <row r="240" spans="1:2">
      <c r="A240">
        <v>239</v>
      </c>
      <c r="B240">
        <v>983</v>
      </c>
    </row>
    <row r="241" spans="1:2">
      <c r="A241">
        <v>240</v>
      </c>
      <c r="B241">
        <v>228</v>
      </c>
    </row>
    <row r="242" spans="1:2">
      <c r="A242">
        <v>241</v>
      </c>
      <c r="B242">
        <v>613</v>
      </c>
    </row>
    <row r="243" spans="1:2">
      <c r="A243">
        <v>242</v>
      </c>
      <c r="B243">
        <v>831</v>
      </c>
    </row>
    <row r="244" spans="1:2">
      <c r="A244">
        <v>243</v>
      </c>
      <c r="B244">
        <v>230</v>
      </c>
    </row>
    <row r="245" spans="1:2">
      <c r="A245">
        <v>244</v>
      </c>
      <c r="B245">
        <v>30</v>
      </c>
    </row>
    <row r="246" spans="1:2">
      <c r="A246">
        <v>245</v>
      </c>
      <c r="B246">
        <v>756</v>
      </c>
    </row>
    <row r="247" spans="1:2">
      <c r="A247">
        <v>246</v>
      </c>
      <c r="B247">
        <v>863</v>
      </c>
    </row>
    <row r="248" spans="1:2">
      <c r="A248">
        <v>247</v>
      </c>
      <c r="B248">
        <v>880</v>
      </c>
    </row>
    <row r="249" spans="1:2">
      <c r="A249">
        <v>248</v>
      </c>
      <c r="B249">
        <v>785</v>
      </c>
    </row>
    <row r="250" spans="1:2">
      <c r="A250">
        <v>249</v>
      </c>
      <c r="B250">
        <v>430</v>
      </c>
    </row>
    <row r="251" spans="1:2">
      <c r="A251">
        <v>250</v>
      </c>
      <c r="B251">
        <v>401</v>
      </c>
    </row>
    <row r="252" spans="1:2">
      <c r="A252">
        <v>251</v>
      </c>
      <c r="B252">
        <v>546</v>
      </c>
    </row>
    <row r="253" spans="1:2">
      <c r="A253">
        <v>252</v>
      </c>
      <c r="B253">
        <v>396</v>
      </c>
    </row>
    <row r="254" spans="1:2">
      <c r="A254">
        <v>253</v>
      </c>
      <c r="B254">
        <v>614</v>
      </c>
    </row>
    <row r="255" spans="1:2">
      <c r="A255">
        <v>254</v>
      </c>
      <c r="B255">
        <v>706</v>
      </c>
    </row>
    <row r="256" spans="1:2">
      <c r="A256">
        <v>255</v>
      </c>
      <c r="B256">
        <v>464</v>
      </c>
    </row>
    <row r="257" spans="1:2">
      <c r="A257">
        <v>256</v>
      </c>
      <c r="B257">
        <v>209</v>
      </c>
    </row>
    <row r="258" spans="1:2">
      <c r="A258">
        <v>257</v>
      </c>
      <c r="B258">
        <v>121</v>
      </c>
    </row>
    <row r="259" spans="1:2">
      <c r="A259">
        <v>258</v>
      </c>
      <c r="B259">
        <v>289</v>
      </c>
    </row>
    <row r="260" spans="1:2">
      <c r="A260">
        <v>259</v>
      </c>
      <c r="B260">
        <v>397</v>
      </c>
    </row>
    <row r="261" spans="1:2">
      <c r="A261">
        <v>260</v>
      </c>
      <c r="B261">
        <v>196</v>
      </c>
    </row>
    <row r="262" spans="1:2">
      <c r="A262">
        <v>261</v>
      </c>
      <c r="B262">
        <v>868</v>
      </c>
    </row>
    <row r="263" spans="1:2">
      <c r="A263">
        <v>262</v>
      </c>
      <c r="B263">
        <v>410</v>
      </c>
    </row>
    <row r="264" spans="1:2">
      <c r="A264">
        <v>263</v>
      </c>
      <c r="B264">
        <v>219</v>
      </c>
    </row>
    <row r="265" spans="1:2">
      <c r="A265">
        <v>264</v>
      </c>
      <c r="B265">
        <v>223</v>
      </c>
    </row>
    <row r="266" spans="1:2">
      <c r="A266">
        <v>265</v>
      </c>
      <c r="B266">
        <v>543</v>
      </c>
    </row>
    <row r="267" spans="1:2">
      <c r="A267">
        <v>266</v>
      </c>
      <c r="B267">
        <v>794</v>
      </c>
    </row>
    <row r="268" spans="1:2">
      <c r="A268">
        <v>267</v>
      </c>
      <c r="B268">
        <v>307</v>
      </c>
    </row>
    <row r="269" spans="1:2">
      <c r="A269">
        <v>268</v>
      </c>
      <c r="B269">
        <v>40</v>
      </c>
    </row>
    <row r="270" spans="1:2">
      <c r="A270">
        <v>269</v>
      </c>
      <c r="B270">
        <v>1</v>
      </c>
    </row>
    <row r="271" spans="1:2">
      <c r="A271">
        <v>270</v>
      </c>
      <c r="B271">
        <v>48</v>
      </c>
    </row>
    <row r="272" spans="1:2">
      <c r="A272">
        <v>271</v>
      </c>
      <c r="B272">
        <v>380</v>
      </c>
    </row>
    <row r="273" spans="1:2">
      <c r="A273">
        <v>272</v>
      </c>
      <c r="B273">
        <v>361</v>
      </c>
    </row>
    <row r="274" spans="1:2">
      <c r="A274">
        <v>273</v>
      </c>
      <c r="B274">
        <v>897</v>
      </c>
    </row>
    <row r="275" spans="1:2">
      <c r="A275">
        <v>274</v>
      </c>
      <c r="B275">
        <v>620</v>
      </c>
    </row>
    <row r="276" spans="1:2">
      <c r="A276">
        <v>275</v>
      </c>
      <c r="B276">
        <v>763</v>
      </c>
    </row>
    <row r="277" spans="1:2">
      <c r="A277">
        <v>276</v>
      </c>
      <c r="B277">
        <v>5</v>
      </c>
    </row>
    <row r="278" spans="1:2">
      <c r="A278">
        <v>277</v>
      </c>
      <c r="B278">
        <v>354</v>
      </c>
    </row>
    <row r="279" spans="1:2">
      <c r="A279">
        <v>278</v>
      </c>
      <c r="B279">
        <v>298</v>
      </c>
    </row>
    <row r="280" spans="1:2">
      <c r="A280">
        <v>279</v>
      </c>
      <c r="B280">
        <v>692</v>
      </c>
    </row>
    <row r="281" spans="1:2">
      <c r="A281">
        <v>280</v>
      </c>
      <c r="B281">
        <v>526</v>
      </c>
    </row>
    <row r="282" spans="1:2">
      <c r="A282">
        <v>281</v>
      </c>
      <c r="B282">
        <v>720</v>
      </c>
    </row>
    <row r="283" spans="1:2">
      <c r="A283">
        <v>282</v>
      </c>
      <c r="B283">
        <v>866</v>
      </c>
    </row>
    <row r="284" spans="1:2">
      <c r="A284">
        <v>283</v>
      </c>
      <c r="B284">
        <v>632</v>
      </c>
    </row>
    <row r="285" spans="1:2">
      <c r="A285">
        <v>284</v>
      </c>
      <c r="B285">
        <v>756</v>
      </c>
    </row>
    <row r="286" spans="1:2">
      <c r="A286">
        <v>285</v>
      </c>
      <c r="B286">
        <v>425</v>
      </c>
    </row>
    <row r="287" spans="1:2">
      <c r="A287">
        <v>286</v>
      </c>
      <c r="B287">
        <v>843</v>
      </c>
    </row>
    <row r="288" spans="1:2">
      <c r="A288">
        <v>287</v>
      </c>
      <c r="B288">
        <v>649</v>
      </c>
    </row>
    <row r="289" spans="1:2">
      <c r="A289">
        <v>288</v>
      </c>
      <c r="B289">
        <v>79</v>
      </c>
    </row>
    <row r="290" spans="1:2">
      <c r="A290">
        <v>289</v>
      </c>
      <c r="B290">
        <v>301</v>
      </c>
    </row>
    <row r="291" spans="1:2">
      <c r="A291">
        <v>290</v>
      </c>
      <c r="B291">
        <v>750</v>
      </c>
    </row>
    <row r="292" spans="1:2">
      <c r="A292">
        <v>291</v>
      </c>
      <c r="B292">
        <v>884</v>
      </c>
    </row>
    <row r="293" spans="1:2">
      <c r="A293">
        <v>292</v>
      </c>
      <c r="B293">
        <v>113</v>
      </c>
    </row>
    <row r="294" spans="1:2">
      <c r="A294">
        <v>293</v>
      </c>
      <c r="B294">
        <v>844</v>
      </c>
    </row>
    <row r="295" spans="1:2">
      <c r="A295">
        <v>294</v>
      </c>
      <c r="B295">
        <v>194</v>
      </c>
    </row>
    <row r="296" spans="1:2">
      <c r="A296">
        <v>295</v>
      </c>
      <c r="B296">
        <v>693</v>
      </c>
    </row>
    <row r="297" spans="1:2">
      <c r="A297">
        <v>296</v>
      </c>
      <c r="B297">
        <v>929</v>
      </c>
    </row>
    <row r="298" spans="1:2">
      <c r="A298">
        <v>297</v>
      </c>
      <c r="B298">
        <v>115</v>
      </c>
    </row>
    <row r="299" spans="1:2">
      <c r="A299">
        <v>298</v>
      </c>
      <c r="B299">
        <v>93</v>
      </c>
    </row>
    <row r="300" spans="1:2">
      <c r="A300">
        <v>299</v>
      </c>
      <c r="B300">
        <v>889</v>
      </c>
    </row>
    <row r="301" spans="1:2">
      <c r="A301">
        <v>300</v>
      </c>
      <c r="B301">
        <v>140</v>
      </c>
    </row>
    <row r="302" spans="1:2">
      <c r="A302">
        <v>301</v>
      </c>
      <c r="B302">
        <v>378</v>
      </c>
    </row>
    <row r="303" spans="1:2">
      <c r="A303">
        <v>302</v>
      </c>
      <c r="B303">
        <v>641</v>
      </c>
    </row>
    <row r="304" spans="1:2">
      <c r="A304">
        <v>303</v>
      </c>
      <c r="B304">
        <v>957</v>
      </c>
    </row>
    <row r="305" spans="1:2">
      <c r="A305">
        <v>304</v>
      </c>
      <c r="B305">
        <v>825</v>
      </c>
    </row>
    <row r="306" spans="1:2">
      <c r="A306">
        <v>305</v>
      </c>
      <c r="B306">
        <v>651</v>
      </c>
    </row>
    <row r="307" spans="1:2">
      <c r="A307">
        <v>306</v>
      </c>
      <c r="B307">
        <v>296</v>
      </c>
    </row>
    <row r="308" spans="1:2">
      <c r="A308">
        <v>307</v>
      </c>
      <c r="B308">
        <v>348</v>
      </c>
    </row>
    <row r="309" spans="1:2">
      <c r="A309">
        <v>308</v>
      </c>
      <c r="B309">
        <v>546</v>
      </c>
    </row>
    <row r="310" spans="1:2">
      <c r="A310">
        <v>309</v>
      </c>
      <c r="B310">
        <v>165</v>
      </c>
    </row>
    <row r="311" spans="1:2">
      <c r="A311">
        <v>310</v>
      </c>
      <c r="B311">
        <v>391</v>
      </c>
    </row>
    <row r="312" spans="1:2">
      <c r="A312">
        <v>311</v>
      </c>
      <c r="B312">
        <v>466</v>
      </c>
    </row>
    <row r="313" spans="1:2">
      <c r="A313">
        <v>312</v>
      </c>
      <c r="B313">
        <v>367</v>
      </c>
    </row>
    <row r="314" spans="1:2">
      <c r="A314">
        <v>313</v>
      </c>
      <c r="B314">
        <v>390</v>
      </c>
    </row>
    <row r="315" spans="1:2">
      <c r="A315">
        <v>314</v>
      </c>
      <c r="B315">
        <v>866</v>
      </c>
    </row>
    <row r="316" spans="1:2">
      <c r="A316">
        <v>315</v>
      </c>
      <c r="B316">
        <v>178</v>
      </c>
    </row>
    <row r="317" spans="1:2">
      <c r="A317">
        <v>316</v>
      </c>
      <c r="B317">
        <v>253</v>
      </c>
    </row>
    <row r="318" spans="1:2">
      <c r="A318">
        <v>317</v>
      </c>
      <c r="B318">
        <v>152</v>
      </c>
    </row>
    <row r="319" spans="1:2">
      <c r="A319">
        <v>318</v>
      </c>
      <c r="B319">
        <v>535</v>
      </c>
    </row>
    <row r="320" spans="1:2">
      <c r="A320">
        <v>319</v>
      </c>
      <c r="B320">
        <v>184</v>
      </c>
    </row>
    <row r="321" spans="1:2">
      <c r="A321">
        <v>320</v>
      </c>
      <c r="B321">
        <v>619</v>
      </c>
    </row>
    <row r="322" spans="1:2">
      <c r="A322">
        <v>321</v>
      </c>
      <c r="B322">
        <v>761</v>
      </c>
    </row>
    <row r="323" spans="1:2">
      <c r="A323">
        <v>322</v>
      </c>
      <c r="B323">
        <v>424</v>
      </c>
    </row>
    <row r="324" spans="1:2">
      <c r="A324">
        <v>323</v>
      </c>
      <c r="B324">
        <v>744</v>
      </c>
    </row>
    <row r="325" spans="1:2">
      <c r="A325">
        <v>324</v>
      </c>
      <c r="B325">
        <v>155</v>
      </c>
    </row>
    <row r="326" spans="1:2">
      <c r="A326">
        <v>325</v>
      </c>
      <c r="B326">
        <v>839</v>
      </c>
    </row>
    <row r="327" spans="1:2">
      <c r="A327">
        <v>326</v>
      </c>
      <c r="B327">
        <v>544</v>
      </c>
    </row>
    <row r="328" spans="1:2">
      <c r="A328">
        <v>327</v>
      </c>
      <c r="B328">
        <v>891</v>
      </c>
    </row>
    <row r="329" spans="1:2">
      <c r="A329">
        <v>328</v>
      </c>
      <c r="B329">
        <v>942</v>
      </c>
    </row>
    <row r="330" spans="1:2">
      <c r="A330">
        <v>329</v>
      </c>
      <c r="B330">
        <v>333</v>
      </c>
    </row>
    <row r="331" spans="1:2">
      <c r="A331">
        <v>330</v>
      </c>
      <c r="B331">
        <v>123</v>
      </c>
    </row>
    <row r="332" spans="1:2">
      <c r="A332">
        <v>331</v>
      </c>
      <c r="B332">
        <v>283</v>
      </c>
    </row>
    <row r="333" spans="1:2">
      <c r="A333">
        <v>332</v>
      </c>
      <c r="B333">
        <v>914</v>
      </c>
    </row>
    <row r="334" spans="1:2">
      <c r="A334">
        <v>333</v>
      </c>
      <c r="B334">
        <v>119</v>
      </c>
    </row>
    <row r="335" spans="1:2">
      <c r="A335">
        <v>334</v>
      </c>
      <c r="B335">
        <v>149</v>
      </c>
    </row>
    <row r="336" spans="1:2">
      <c r="A336">
        <v>335</v>
      </c>
      <c r="B336">
        <v>706</v>
      </c>
    </row>
    <row r="337" spans="1:2">
      <c r="A337">
        <v>336</v>
      </c>
      <c r="B337">
        <v>539</v>
      </c>
    </row>
    <row r="338" spans="1:2">
      <c r="A338">
        <v>337</v>
      </c>
      <c r="B338">
        <v>838</v>
      </c>
    </row>
    <row r="339" spans="1:2">
      <c r="A339">
        <v>338</v>
      </c>
      <c r="B339">
        <v>146</v>
      </c>
    </row>
    <row r="340" spans="1:2">
      <c r="A340">
        <v>339</v>
      </c>
      <c r="B340">
        <v>591</v>
      </c>
    </row>
    <row r="341" spans="1:2">
      <c r="A341">
        <v>340</v>
      </c>
      <c r="B341">
        <v>376</v>
      </c>
    </row>
    <row r="342" spans="1:2">
      <c r="A342">
        <v>341</v>
      </c>
      <c r="B342">
        <v>926</v>
      </c>
    </row>
    <row r="343" spans="1:2">
      <c r="A343">
        <v>342</v>
      </c>
      <c r="B343">
        <v>597</v>
      </c>
    </row>
    <row r="344" spans="1:2">
      <c r="A344">
        <v>343</v>
      </c>
      <c r="B344">
        <v>782</v>
      </c>
    </row>
    <row r="345" spans="1:2">
      <c r="A345">
        <v>344</v>
      </c>
      <c r="B345">
        <v>12</v>
      </c>
    </row>
    <row r="346" spans="1:2">
      <c r="A346">
        <v>345</v>
      </c>
      <c r="B346">
        <v>467</v>
      </c>
    </row>
    <row r="347" spans="1:2">
      <c r="A347">
        <v>346</v>
      </c>
      <c r="B347">
        <v>429</v>
      </c>
    </row>
    <row r="348" spans="1:2">
      <c r="A348">
        <v>347</v>
      </c>
      <c r="B348">
        <v>198</v>
      </c>
    </row>
    <row r="349" spans="1:2">
      <c r="A349">
        <v>348</v>
      </c>
      <c r="B349">
        <v>48</v>
      </c>
    </row>
    <row r="350" spans="1:2">
      <c r="A350">
        <v>349</v>
      </c>
      <c r="B350">
        <v>521</v>
      </c>
    </row>
    <row r="351" spans="1:2">
      <c r="A351">
        <v>350</v>
      </c>
      <c r="B351">
        <v>212</v>
      </c>
    </row>
    <row r="352" spans="1:2">
      <c r="A352">
        <v>351</v>
      </c>
      <c r="B352">
        <v>602</v>
      </c>
    </row>
    <row r="353" spans="1:2">
      <c r="A353">
        <v>352</v>
      </c>
      <c r="B353">
        <v>835</v>
      </c>
    </row>
    <row r="354" spans="1:2">
      <c r="A354">
        <v>353</v>
      </c>
      <c r="B354">
        <v>814</v>
      </c>
    </row>
    <row r="355" spans="1:2">
      <c r="A355">
        <v>354</v>
      </c>
      <c r="B355">
        <v>274</v>
      </c>
    </row>
    <row r="356" spans="1:2">
      <c r="A356">
        <v>355</v>
      </c>
      <c r="B356">
        <v>149</v>
      </c>
    </row>
    <row r="357" spans="1:2">
      <c r="A357">
        <v>356</v>
      </c>
      <c r="B357">
        <v>240</v>
      </c>
    </row>
    <row r="358" spans="1:2">
      <c r="A358">
        <v>357</v>
      </c>
      <c r="B358">
        <v>59</v>
      </c>
    </row>
    <row r="359" spans="1:2">
      <c r="A359">
        <v>358</v>
      </c>
      <c r="B359">
        <v>519</v>
      </c>
    </row>
    <row r="360" spans="1:2">
      <c r="A360">
        <v>359</v>
      </c>
      <c r="B360">
        <v>73</v>
      </c>
    </row>
    <row r="361" spans="1:2">
      <c r="A361">
        <v>360</v>
      </c>
      <c r="B361">
        <v>333</v>
      </c>
    </row>
    <row r="362" spans="1:2">
      <c r="A362">
        <v>361</v>
      </c>
      <c r="B362">
        <v>918</v>
      </c>
    </row>
    <row r="363" spans="1:2">
      <c r="A363">
        <v>362</v>
      </c>
      <c r="B363">
        <v>502</v>
      </c>
    </row>
    <row r="364" spans="1:2">
      <c r="A364">
        <v>363</v>
      </c>
      <c r="B364">
        <v>945</v>
      </c>
    </row>
    <row r="365" spans="1:2">
      <c r="A365">
        <v>364</v>
      </c>
      <c r="B365">
        <v>814</v>
      </c>
    </row>
    <row r="366" spans="1:2">
      <c r="A366">
        <v>365</v>
      </c>
      <c r="B366">
        <v>431</v>
      </c>
    </row>
    <row r="367" spans="1:2">
      <c r="A367">
        <v>366</v>
      </c>
      <c r="B367">
        <v>776</v>
      </c>
    </row>
  </sheetData>
  <sheetProtection password="E4E4"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2:O116"/>
  <sheetViews>
    <sheetView workbookViewId="0"/>
  </sheetViews>
  <sheetFormatPr defaultRowHeight="15"/>
  <cols>
    <col min="1" max="1" width="30.7109375" customWidth="1"/>
  </cols>
  <sheetData>
    <row r="2" spans="1:3">
      <c r="A2" t="s">
        <v>536</v>
      </c>
      <c r="B2" t="s">
        <v>162</v>
      </c>
      <c r="C2">
        <f>'AC'!B167</f>
        <v>0</v>
      </c>
    </row>
    <row r="3" spans="1:3">
      <c r="A3" t="s">
        <v>536</v>
      </c>
      <c r="B3" t="s">
        <v>163</v>
      </c>
      <c r="C3">
        <f>'AC'!B168</f>
        <v>0</v>
      </c>
    </row>
    <row r="4" spans="1:3">
      <c r="A4" t="s">
        <v>536</v>
      </c>
      <c r="B4" t="s">
        <v>164</v>
      </c>
      <c r="C4">
        <f>'AC'!B169</f>
        <v>0</v>
      </c>
    </row>
    <row r="5" spans="1:3">
      <c r="A5" t="s">
        <v>536</v>
      </c>
      <c r="B5" t="s">
        <v>165</v>
      </c>
      <c r="C5">
        <f>'AC'!B170</f>
        <v>0</v>
      </c>
    </row>
    <row r="6" spans="1:3">
      <c r="A6" t="s">
        <v>536</v>
      </c>
      <c r="B6" t="s">
        <v>166</v>
      </c>
      <c r="C6">
        <f>'AC'!B171</f>
        <v>0</v>
      </c>
    </row>
    <row r="7" spans="1:3">
      <c r="A7" t="s">
        <v>540</v>
      </c>
      <c r="B7" t="s">
        <v>162</v>
      </c>
      <c r="C7">
        <f>'AU'!B87</f>
        <v>0</v>
      </c>
    </row>
    <row r="8" spans="1:3">
      <c r="A8" t="s">
        <v>540</v>
      </c>
      <c r="B8" t="s">
        <v>163</v>
      </c>
      <c r="C8">
        <f>'AU'!B88</f>
        <v>0</v>
      </c>
    </row>
    <row r="9" spans="1:3">
      <c r="A9" t="s">
        <v>540</v>
      </c>
      <c r="B9" t="s">
        <v>164</v>
      </c>
      <c r="C9">
        <f>'AU'!B89</f>
        <v>0</v>
      </c>
    </row>
    <row r="10" spans="1:3">
      <c r="A10" t="s">
        <v>540</v>
      </c>
      <c r="B10" t="s">
        <v>165</v>
      </c>
      <c r="C10">
        <f>'AU'!B90</f>
        <v>0</v>
      </c>
    </row>
    <row r="11" spans="1:3">
      <c r="A11" t="s">
        <v>540</v>
      </c>
      <c r="B11" t="s">
        <v>166</v>
      </c>
      <c r="C11">
        <f>'AU'!B91</f>
        <v>0</v>
      </c>
    </row>
    <row r="12" spans="1:3">
      <c r="A12" t="s">
        <v>542</v>
      </c>
      <c r="B12" t="s">
        <v>162</v>
      </c>
      <c r="C12">
        <f>'AT'!B49</f>
        <v>0</v>
      </c>
    </row>
    <row r="13" spans="1:3">
      <c r="A13" t="s">
        <v>542</v>
      </c>
      <c r="B13" t="s">
        <v>163</v>
      </c>
      <c r="C13">
        <f>'AT'!B50</f>
        <v>0</v>
      </c>
    </row>
    <row r="14" spans="1:3">
      <c r="A14" t="s">
        <v>542</v>
      </c>
      <c r="B14" t="s">
        <v>164</v>
      </c>
      <c r="C14">
        <f>'AT'!B51</f>
        <v>0</v>
      </c>
    </row>
    <row r="15" spans="1:3">
      <c r="A15" t="s">
        <v>542</v>
      </c>
      <c r="B15" t="s">
        <v>165</v>
      </c>
      <c r="C15">
        <f>'AT'!B52</f>
        <v>0</v>
      </c>
    </row>
    <row r="16" spans="1:3">
      <c r="A16" t="s">
        <v>542</v>
      </c>
      <c r="B16" t="s">
        <v>166</v>
      </c>
      <c r="C16">
        <f>'AT'!B53</f>
        <v>0</v>
      </c>
    </row>
    <row r="17" spans="1:3">
      <c r="A17" t="s">
        <v>545</v>
      </c>
      <c r="B17" t="s">
        <v>162</v>
      </c>
      <c r="C17">
        <f>'CM'!B102</f>
        <v>0</v>
      </c>
    </row>
    <row r="18" spans="1:3">
      <c r="A18" t="s">
        <v>545</v>
      </c>
      <c r="B18" t="s">
        <v>163</v>
      </c>
      <c r="C18">
        <f>'CM'!B103</f>
        <v>0</v>
      </c>
    </row>
    <row r="19" spans="1:3">
      <c r="A19" t="s">
        <v>545</v>
      </c>
      <c r="B19" t="s">
        <v>164</v>
      </c>
      <c r="C19">
        <f>'CM'!B104</f>
        <v>0</v>
      </c>
    </row>
    <row r="20" spans="1:3">
      <c r="A20" t="s">
        <v>545</v>
      </c>
      <c r="B20" t="s">
        <v>165</v>
      </c>
      <c r="C20">
        <f>'CM'!B105</f>
        <v>0</v>
      </c>
    </row>
    <row r="21" spans="1:3">
      <c r="A21" t="s">
        <v>545</v>
      </c>
      <c r="B21" t="s">
        <v>166</v>
      </c>
      <c r="C21">
        <f>'CM'!B106</f>
        <v>0</v>
      </c>
    </row>
    <row r="22" spans="1:3">
      <c r="A22" t="s">
        <v>554</v>
      </c>
      <c r="B22" t="s">
        <v>162</v>
      </c>
      <c r="C22">
        <f>'IA'!B89</f>
        <v>0</v>
      </c>
    </row>
    <row r="23" spans="1:3">
      <c r="A23" t="s">
        <v>554</v>
      </c>
      <c r="B23" t="s">
        <v>163</v>
      </c>
      <c r="C23">
        <f>'IA'!B90</f>
        <v>0</v>
      </c>
    </row>
    <row r="24" spans="1:3">
      <c r="A24" t="s">
        <v>554</v>
      </c>
      <c r="B24" t="s">
        <v>164</v>
      </c>
      <c r="C24">
        <f>'IA'!B91</f>
        <v>0</v>
      </c>
    </row>
    <row r="25" spans="1:3">
      <c r="A25" t="s">
        <v>554</v>
      </c>
      <c r="B25" t="s">
        <v>165</v>
      </c>
      <c r="C25">
        <f>'IA'!B92</f>
        <v>0</v>
      </c>
    </row>
    <row r="26" spans="1:3">
      <c r="A26" t="s">
        <v>554</v>
      </c>
      <c r="B26" t="s">
        <v>166</v>
      </c>
      <c r="C26">
        <f>'IA'!B93</f>
        <v>0</v>
      </c>
    </row>
    <row r="27" spans="1:3">
      <c r="A27" t="s">
        <v>556</v>
      </c>
      <c r="B27" t="s">
        <v>162</v>
      </c>
      <c r="C27">
        <f>'IR'!B54</f>
        <v>0</v>
      </c>
    </row>
    <row r="28" spans="1:3">
      <c r="A28" t="s">
        <v>556</v>
      </c>
      <c r="B28" t="s">
        <v>163</v>
      </c>
      <c r="C28">
        <f>'IR'!B55</f>
        <v>0</v>
      </c>
    </row>
    <row r="29" spans="1:3">
      <c r="A29" t="s">
        <v>556</v>
      </c>
      <c r="B29" t="s">
        <v>164</v>
      </c>
      <c r="C29">
        <f>'IR'!B56</f>
        <v>0</v>
      </c>
    </row>
    <row r="30" spans="1:3">
      <c r="A30" t="s">
        <v>556</v>
      </c>
      <c r="B30" t="s">
        <v>165</v>
      </c>
      <c r="C30">
        <f>'IR'!B57</f>
        <v>0</v>
      </c>
    </row>
    <row r="31" spans="1:3">
      <c r="A31" t="s">
        <v>556</v>
      </c>
      <c r="B31" t="s">
        <v>166</v>
      </c>
      <c r="C31">
        <f>'IR'!B58</f>
        <v>0</v>
      </c>
    </row>
    <row r="32" spans="1:3">
      <c r="A32" t="s">
        <v>561</v>
      </c>
      <c r="B32" t="s">
        <v>162</v>
      </c>
      <c r="C32">
        <f>'MA'!B59</f>
        <v>0</v>
      </c>
    </row>
    <row r="33" spans="1:3">
      <c r="A33" t="s">
        <v>561</v>
      </c>
      <c r="B33" t="s">
        <v>163</v>
      </c>
      <c r="C33">
        <f>'MA'!B60</f>
        <v>0</v>
      </c>
    </row>
    <row r="34" spans="1:3">
      <c r="A34" t="s">
        <v>561</v>
      </c>
      <c r="B34" t="s">
        <v>164</v>
      </c>
      <c r="C34">
        <f>'MA'!B61</f>
        <v>0</v>
      </c>
    </row>
    <row r="35" spans="1:3">
      <c r="A35" t="s">
        <v>561</v>
      </c>
      <c r="B35" t="s">
        <v>165</v>
      </c>
      <c r="C35">
        <f>'MA'!B62</f>
        <v>0</v>
      </c>
    </row>
    <row r="36" spans="1:3">
      <c r="A36" t="s">
        <v>561</v>
      </c>
      <c r="B36" t="s">
        <v>166</v>
      </c>
      <c r="C36">
        <f>'MA'!B63</f>
        <v>0</v>
      </c>
    </row>
    <row r="37" spans="1:3">
      <c r="A37" t="s">
        <v>563</v>
      </c>
      <c r="B37" t="s">
        <v>162</v>
      </c>
      <c r="C37">
        <f>'MP'!B73</f>
        <v>0</v>
      </c>
    </row>
    <row r="38" spans="1:3">
      <c r="A38" t="s">
        <v>563</v>
      </c>
      <c r="B38" t="s">
        <v>163</v>
      </c>
      <c r="C38">
        <f>'MP'!B74</f>
        <v>0</v>
      </c>
    </row>
    <row r="39" spans="1:3">
      <c r="A39" t="s">
        <v>563</v>
      </c>
      <c r="B39" t="s">
        <v>164</v>
      </c>
      <c r="C39">
        <f>'MP'!B75</f>
        <v>0</v>
      </c>
    </row>
    <row r="40" spans="1:3">
      <c r="A40" t="s">
        <v>563</v>
      </c>
      <c r="B40" t="s">
        <v>165</v>
      </c>
      <c r="C40">
        <f>'MP'!B76</f>
        <v>0</v>
      </c>
    </row>
    <row r="41" spans="1:3">
      <c r="A41" t="s">
        <v>563</v>
      </c>
      <c r="B41" t="s">
        <v>166</v>
      </c>
      <c r="C41">
        <f>'MP'!B77</f>
        <v>0</v>
      </c>
    </row>
    <row r="42" spans="1:3">
      <c r="A42" t="s">
        <v>574</v>
      </c>
      <c r="B42" t="s">
        <v>162</v>
      </c>
      <c r="C42">
        <f>'PS'!B41</f>
        <v>0</v>
      </c>
    </row>
    <row r="43" spans="1:3">
      <c r="A43" t="s">
        <v>574</v>
      </c>
      <c r="B43" t="s">
        <v>163</v>
      </c>
      <c r="C43">
        <f>'PS'!B42</f>
        <v>0</v>
      </c>
    </row>
    <row r="44" spans="1:3">
      <c r="A44" t="s">
        <v>574</v>
      </c>
      <c r="B44" t="s">
        <v>164</v>
      </c>
      <c r="C44">
        <f>'PS'!B43</f>
        <v>0</v>
      </c>
    </row>
    <row r="45" spans="1:3">
      <c r="A45" t="s">
        <v>574</v>
      </c>
      <c r="B45" t="s">
        <v>165</v>
      </c>
      <c r="C45">
        <f>'PS'!B44</f>
        <v>0</v>
      </c>
    </row>
    <row r="46" spans="1:3">
      <c r="A46" t="s">
        <v>574</v>
      </c>
      <c r="B46" t="s">
        <v>166</v>
      </c>
      <c r="C46">
        <f>'PS'!B45</f>
        <v>0</v>
      </c>
    </row>
    <row r="47" spans="1:3">
      <c r="A47" t="s">
        <v>576</v>
      </c>
      <c r="B47" t="s">
        <v>162</v>
      </c>
      <c r="C47">
        <f>'PE'!B65</f>
        <v>0</v>
      </c>
    </row>
    <row r="48" spans="1:3">
      <c r="A48" t="s">
        <v>576</v>
      </c>
      <c r="B48" t="s">
        <v>163</v>
      </c>
      <c r="C48">
        <f>'PE'!B66</f>
        <v>0</v>
      </c>
    </row>
    <row r="49" spans="1:3">
      <c r="A49" t="s">
        <v>576</v>
      </c>
      <c r="B49" t="s">
        <v>164</v>
      </c>
      <c r="C49">
        <f>'PE'!B67</f>
        <v>0</v>
      </c>
    </row>
    <row r="50" spans="1:3">
      <c r="A50" t="s">
        <v>576</v>
      </c>
      <c r="B50" t="s">
        <v>165</v>
      </c>
      <c r="C50">
        <f>'PE'!B68</f>
        <v>0</v>
      </c>
    </row>
    <row r="51" spans="1:3">
      <c r="A51" t="s">
        <v>576</v>
      </c>
      <c r="B51" t="s">
        <v>166</v>
      </c>
      <c r="C51">
        <f>'PE'!B69</f>
        <v>0</v>
      </c>
    </row>
    <row r="52" spans="1:3">
      <c r="A52" t="s">
        <v>610</v>
      </c>
      <c r="B52" t="s">
        <v>162</v>
      </c>
      <c r="C52">
        <f>'RA'!B49</f>
        <v>0</v>
      </c>
    </row>
    <row r="53" spans="1:3">
      <c r="A53" t="s">
        <v>610</v>
      </c>
      <c r="B53" t="s">
        <v>163</v>
      </c>
      <c r="C53">
        <f>'RA'!B50</f>
        <v>0</v>
      </c>
    </row>
    <row r="54" spans="1:3">
      <c r="A54" t="s">
        <v>610</v>
      </c>
      <c r="B54" t="s">
        <v>164</v>
      </c>
      <c r="C54">
        <f>'RA'!B51</f>
        <v>0</v>
      </c>
    </row>
    <row r="55" spans="1:3">
      <c r="A55" t="s">
        <v>610</v>
      </c>
      <c r="B55" t="s">
        <v>165</v>
      </c>
      <c r="C55">
        <f>'RA'!B52</f>
        <v>0</v>
      </c>
    </row>
    <row r="56" spans="1:3">
      <c r="A56" t="s">
        <v>610</v>
      </c>
      <c r="B56" t="s">
        <v>166</v>
      </c>
      <c r="C56">
        <f>'RA'!B53</f>
        <v>0</v>
      </c>
    </row>
    <row r="57" spans="1:3">
      <c r="A57" t="s">
        <v>596</v>
      </c>
      <c r="B57" t="s">
        <v>162</v>
      </c>
      <c r="C57">
        <f>'CA'!B57</f>
        <v>0</v>
      </c>
    </row>
    <row r="58" spans="1:3">
      <c r="A58" t="s">
        <v>596</v>
      </c>
      <c r="B58" t="s">
        <v>163</v>
      </c>
      <c r="C58">
        <f>'CA'!B58</f>
        <v>0</v>
      </c>
    </row>
    <row r="59" spans="1:3">
      <c r="A59" t="s">
        <v>596</v>
      </c>
      <c r="B59" t="s">
        <v>164</v>
      </c>
      <c r="C59">
        <f>'CA'!B59</f>
        <v>0</v>
      </c>
    </row>
    <row r="60" spans="1:3">
      <c r="A60" t="s">
        <v>596</v>
      </c>
      <c r="B60" t="s">
        <v>165</v>
      </c>
      <c r="C60">
        <f>'CA'!B60</f>
        <v>0</v>
      </c>
    </row>
    <row r="61" spans="1:3">
      <c r="A61" t="s">
        <v>596</v>
      </c>
      <c r="B61" t="s">
        <v>166</v>
      </c>
      <c r="C61">
        <f>'CA'!B61</f>
        <v>0</v>
      </c>
    </row>
    <row r="62" spans="1:3">
      <c r="A62" t="s">
        <v>600</v>
      </c>
      <c r="B62" t="s">
        <v>162</v>
      </c>
      <c r="C62">
        <f>'SI'!B72</f>
        <v>0</v>
      </c>
    </row>
    <row r="63" spans="1:3">
      <c r="A63" t="s">
        <v>600</v>
      </c>
      <c r="B63" t="s">
        <v>163</v>
      </c>
      <c r="C63">
        <f>'SI'!B73</f>
        <v>0</v>
      </c>
    </row>
    <row r="64" spans="1:3">
      <c r="A64" t="s">
        <v>600</v>
      </c>
      <c r="B64" t="s">
        <v>164</v>
      </c>
      <c r="C64">
        <f>'SI'!B74</f>
        <v>0</v>
      </c>
    </row>
    <row r="65" spans="1:14">
      <c r="A65" t="s">
        <v>600</v>
      </c>
      <c r="B65" t="s">
        <v>165</v>
      </c>
      <c r="C65">
        <f>'SI'!B75</f>
        <v>0</v>
      </c>
    </row>
    <row r="66" spans="1:14">
      <c r="A66" t="s">
        <v>600</v>
      </c>
      <c r="B66" t="s">
        <v>166</v>
      </c>
      <c r="C66">
        <f>'SI'!B76</f>
        <v>0</v>
      </c>
    </row>
    <row r="67" spans="1:14">
      <c r="A67" t="s">
        <v>602</v>
      </c>
      <c r="B67" t="s">
        <v>162</v>
      </c>
      <c r="C67">
        <f>'SC'!B120</f>
        <v>0</v>
      </c>
    </row>
    <row r="68" spans="1:14">
      <c r="A68" t="s">
        <v>602</v>
      </c>
      <c r="B68" t="s">
        <v>163</v>
      </c>
      <c r="C68">
        <f>'SC'!B121</f>
        <v>0</v>
      </c>
    </row>
    <row r="69" spans="1:14">
      <c r="A69" t="s">
        <v>602</v>
      </c>
      <c r="B69" t="s">
        <v>164</v>
      </c>
      <c r="C69">
        <f>'SC'!B122</f>
        <v>0</v>
      </c>
    </row>
    <row r="70" spans="1:14">
      <c r="A70" t="s">
        <v>602</v>
      </c>
      <c r="B70" t="s">
        <v>165</v>
      </c>
      <c r="C70">
        <f>'SC'!B123</f>
        <v>0</v>
      </c>
    </row>
    <row r="71" spans="1:14">
      <c r="A71" t="s">
        <v>602</v>
      </c>
      <c r="B71" t="s">
        <v>166</v>
      </c>
      <c r="C71">
        <f>'SC'!B124</f>
        <v>0</v>
      </c>
    </row>
    <row r="73" spans="1:14">
      <c r="A73" t="s">
        <v>611</v>
      </c>
      <c r="D73" t="s">
        <v>612</v>
      </c>
      <c r="E73" t="s">
        <v>613</v>
      </c>
      <c r="F73" t="s">
        <v>614</v>
      </c>
      <c r="G73" t="s">
        <v>615</v>
      </c>
      <c r="H73" t="s">
        <v>616</v>
      </c>
      <c r="I73" t="s">
        <v>617</v>
      </c>
      <c r="J73" t="s">
        <v>618</v>
      </c>
      <c r="K73" t="s">
        <v>619</v>
      </c>
      <c r="L73" t="s">
        <v>620</v>
      </c>
      <c r="M73" t="s">
        <v>621</v>
      </c>
    </row>
    <row r="74" spans="1:14">
      <c r="C74" t="s">
        <v>162</v>
      </c>
      <c r="D74">
        <f>SUMIF(B2:B71,C74,C2:C71)</f>
        <v>0</v>
      </c>
      <c r="E74">
        <f>1</f>
        <v>0</v>
      </c>
      <c r="F74">
        <f>D74*E74</f>
        <v>0</v>
      </c>
      <c r="I74">
        <f>VLOOKUP(C74,DATA_SUPPORT!$D$2:$E$51,2)</f>
        <v>0</v>
      </c>
      <c r="J74">
        <f>D74*DATA_SUPPORT!$G$5</f>
        <v>0</v>
      </c>
      <c r="K74">
        <f>CONCATENATE(CHAR(34), I74,CHAR(34), ":", J74,",")</f>
        <v>0</v>
      </c>
      <c r="M74">
        <f>K74 &amp; K75 &amp; K76 &amp; K77 &amp; K78</f>
        <v>0</v>
      </c>
      <c r="N74">
        <f>CONCATENATE("{",LEFT(M74,LEN(M74)-1),"}")</f>
        <v>0</v>
      </c>
    </row>
    <row r="75" spans="1:14">
      <c r="C75" t="s">
        <v>163</v>
      </c>
      <c r="D75">
        <f>SUMIF(B2:B71,C75,C2:C71)</f>
        <v>0</v>
      </c>
      <c r="E75">
        <f>0.87</f>
        <v>0</v>
      </c>
      <c r="F75">
        <f>D75*E75</f>
        <v>0</v>
      </c>
      <c r="I75">
        <f>VLOOKUP(C75,DATA_SUPPORT!$D$2:$E$51,2)</f>
        <v>0</v>
      </c>
      <c r="J75">
        <f>D75*DATA_SUPPORT!$G$5</f>
        <v>0</v>
      </c>
      <c r="K75">
        <f>CONCATENATE(CHAR(34), I75,CHAR(34), ":", J75,",")</f>
        <v>0</v>
      </c>
    </row>
    <row r="76" spans="1:14">
      <c r="C76" t="s">
        <v>164</v>
      </c>
      <c r="D76">
        <f>SUMIF(B2:B71,C76,C2:C71)</f>
        <v>0</v>
      </c>
      <c r="E76">
        <f>0.62</f>
        <v>0</v>
      </c>
      <c r="F76">
        <f>D76*E76</f>
        <v>0</v>
      </c>
      <c r="I76">
        <f>VLOOKUP(C76,DATA_SUPPORT!$D$2:$E$51,2)</f>
        <v>0</v>
      </c>
      <c r="J76">
        <f>D76*DATA_SUPPORT!$G$5</f>
        <v>0</v>
      </c>
      <c r="K76">
        <f>CONCATENATE(CHAR(34), I76,CHAR(34), ":", J76,",")</f>
        <v>0</v>
      </c>
    </row>
    <row r="77" spans="1:14">
      <c r="C77" t="s">
        <v>165</v>
      </c>
      <c r="D77">
        <f>SUMIF(B2:B71,C77,C2:C71)</f>
        <v>0</v>
      </c>
      <c r="E77">
        <f>0.37</f>
        <v>0</v>
      </c>
      <c r="F77">
        <f>D77*E77</f>
        <v>0</v>
      </c>
      <c r="I77">
        <f>VLOOKUP(C77,DATA_SUPPORT!$D$2:$E$51,2)</f>
        <v>0</v>
      </c>
      <c r="J77">
        <f>D77*DATA_SUPPORT!$G$5</f>
        <v>0</v>
      </c>
      <c r="K77">
        <f>CONCATENATE(CHAR(34), I77,CHAR(34), ":", J77,",")</f>
        <v>0</v>
      </c>
    </row>
    <row r="78" spans="1:14">
      <c r="C78" t="s">
        <v>166</v>
      </c>
      <c r="D78">
        <f>SUMIF(B2:B71,C78,C2:C71)</f>
        <v>0</v>
      </c>
      <c r="E78">
        <f>0.12</f>
        <v>0</v>
      </c>
      <c r="F78">
        <f>D78*E78</f>
        <v>0</v>
      </c>
      <c r="G78">
        <f>sum(F74:F78)</f>
        <v>0</v>
      </c>
      <c r="H78">
        <f>G78/sum(D74:D78)</f>
        <v>0</v>
      </c>
      <c r="I78">
        <f>VLOOKUP(C78,DATA_SUPPORT!$D$2:$E$51,2)</f>
        <v>0</v>
      </c>
      <c r="J78">
        <f>D78*DATA_SUPPORT!$G$5</f>
        <v>0</v>
      </c>
      <c r="K78">
        <f>CONCATENATE(CHAR(34), I78,CHAR(34), ":", J78,",")</f>
        <v>0</v>
      </c>
    </row>
    <row r="80" spans="1:14">
      <c r="A80" t="s">
        <v>623</v>
      </c>
      <c r="D80" t="s">
        <v>162</v>
      </c>
      <c r="E80" t="s">
        <v>163</v>
      </c>
      <c r="F80" t="s">
        <v>164</v>
      </c>
      <c r="G80" t="s">
        <v>165</v>
      </c>
      <c r="H80" t="s">
        <v>166</v>
      </c>
      <c r="I80" t="s">
        <v>624</v>
      </c>
      <c r="J80" t="s">
        <v>625</v>
      </c>
      <c r="K80" t="s">
        <v>626</v>
      </c>
      <c r="L80" t="s">
        <v>627</v>
      </c>
    </row>
    <row r="81" spans="3:12">
      <c r="C81" t="s">
        <v>536</v>
      </c>
      <c r="D81">
        <f>SUMIFS(C2:C71,A2:A71,C81,B2:B71,D80)</f>
        <v>0</v>
      </c>
      <c r="E81">
        <f>SUMIFS(C2:C71,A2:A71,C81,B2:B71,E80)</f>
        <v>0</v>
      </c>
      <c r="F81">
        <f>SUMIFS(C2:C71,A2:A71,C81,B2:B71,F80)</f>
        <v>0</v>
      </c>
      <c r="G81">
        <f>SUMIFS(C2:C71,A2:A71,C81,B2:B71,G80)</f>
        <v>0</v>
      </c>
      <c r="H81">
        <f>SUMIFS(C2:C71,A2:A71,C81,B2:B71,H80)</f>
        <v>0</v>
      </c>
      <c r="I81">
        <f>(D81 * 100000) + (E81 * 10000) + (F81 * 1000) + (G81 * 100) + (H81 * 10)</f>
        <v>0</v>
      </c>
      <c r="J81">
        <f>COUNTIF(I81:I94,"&lt;"&amp;I81)</f>
        <v>0</v>
      </c>
      <c r="K81">
        <f>COUNTIF(J81:J81,"="&amp;J81)</f>
        <v>0</v>
      </c>
      <c r="L81">
        <f>J81 + K81</f>
        <v>0</v>
      </c>
    </row>
    <row r="82" spans="3:12">
      <c r="C82" t="s">
        <v>540</v>
      </c>
      <c r="D82">
        <f>SUMIFS(C2:C71,A2:A71,C82,B2:B71,D80)</f>
        <v>0</v>
      </c>
      <c r="E82">
        <f>SUMIFS(C2:C71,A2:A71,C82,B2:B71,E80)</f>
        <v>0</v>
      </c>
      <c r="F82">
        <f>SUMIFS(C2:C71,A2:A71,C82,B2:B71,F80)</f>
        <v>0</v>
      </c>
      <c r="G82">
        <f>SUMIFS(C2:C71,A2:A71,C82,B2:B71,G80)</f>
        <v>0</v>
      </c>
      <c r="H82">
        <f>SUMIFS(C2:C71,A2:A71,C82,B2:B71,H80)</f>
        <v>0</v>
      </c>
      <c r="I82">
        <f>(D82 * 100000) + (E82 * 10000) + (F82 * 1000) + (G82 * 100) + (H82 * 10)</f>
        <v>0</v>
      </c>
      <c r="J82">
        <f>COUNTIF(I81:I94,"&lt;"&amp;I82)</f>
        <v>0</v>
      </c>
      <c r="K82">
        <f>COUNTIF(J81:J82,"="&amp;J82)</f>
        <v>0</v>
      </c>
      <c r="L82">
        <f>J82 + K82</f>
        <v>0</v>
      </c>
    </row>
    <row r="83" spans="3:12">
      <c r="C83" t="s">
        <v>542</v>
      </c>
      <c r="D83">
        <f>SUMIFS(C2:C71,A2:A71,C83,B2:B71,D80)</f>
        <v>0</v>
      </c>
      <c r="E83">
        <f>SUMIFS(C2:C71,A2:A71,C83,B2:B71,E80)</f>
        <v>0</v>
      </c>
      <c r="F83">
        <f>SUMIFS(C2:C71,A2:A71,C83,B2:B71,F80)</f>
        <v>0</v>
      </c>
      <c r="G83">
        <f>SUMIFS(C2:C71,A2:A71,C83,B2:B71,G80)</f>
        <v>0</v>
      </c>
      <c r="H83">
        <f>SUMIFS(C2:C71,A2:A71,C83,B2:B71,H80)</f>
        <v>0</v>
      </c>
      <c r="I83">
        <f>(D83 * 100000) + (E83 * 10000) + (F83 * 1000) + (G83 * 100) + (H83 * 10)</f>
        <v>0</v>
      </c>
      <c r="J83">
        <f>COUNTIF(I81:I94,"&lt;"&amp;I83)</f>
        <v>0</v>
      </c>
      <c r="K83">
        <f>COUNTIF(J81:J83,"="&amp;J83)</f>
        <v>0</v>
      </c>
      <c r="L83">
        <f>J83 + K83</f>
        <v>0</v>
      </c>
    </row>
    <row r="84" spans="3:12">
      <c r="C84" t="s">
        <v>545</v>
      </c>
      <c r="D84">
        <f>SUMIFS(C2:C71,A2:A71,C84,B2:B71,D80)</f>
        <v>0</v>
      </c>
      <c r="E84">
        <f>SUMIFS(C2:C71,A2:A71,C84,B2:B71,E80)</f>
        <v>0</v>
      </c>
      <c r="F84">
        <f>SUMIFS(C2:C71,A2:A71,C84,B2:B71,F80)</f>
        <v>0</v>
      </c>
      <c r="G84">
        <f>SUMIFS(C2:C71,A2:A71,C84,B2:B71,G80)</f>
        <v>0</v>
      </c>
      <c r="H84">
        <f>SUMIFS(C2:C71,A2:A71,C84,B2:B71,H80)</f>
        <v>0</v>
      </c>
      <c r="I84">
        <f>(D84 * 100000) + (E84 * 10000) + (F84 * 1000) + (G84 * 100) + (H84 * 10)</f>
        <v>0</v>
      </c>
      <c r="J84">
        <f>COUNTIF(I81:I94,"&lt;"&amp;I84)</f>
        <v>0</v>
      </c>
      <c r="K84">
        <f>COUNTIF(J81:J84,"="&amp;J84)</f>
        <v>0</v>
      </c>
      <c r="L84">
        <f>J84 + K84</f>
        <v>0</v>
      </c>
    </row>
    <row r="85" spans="3:12">
      <c r="C85" t="s">
        <v>554</v>
      </c>
      <c r="D85">
        <f>SUMIFS(C2:C71,A2:A71,C85,B2:B71,D80)</f>
        <v>0</v>
      </c>
      <c r="E85">
        <f>SUMIFS(C2:C71,A2:A71,C85,B2:B71,E80)</f>
        <v>0</v>
      </c>
      <c r="F85">
        <f>SUMIFS(C2:C71,A2:A71,C85,B2:B71,F80)</f>
        <v>0</v>
      </c>
      <c r="G85">
        <f>SUMIFS(C2:C71,A2:A71,C85,B2:B71,G80)</f>
        <v>0</v>
      </c>
      <c r="H85">
        <f>SUMIFS(C2:C71,A2:A71,C85,B2:B71,H80)</f>
        <v>0</v>
      </c>
      <c r="I85">
        <f>(D85 * 100000) + (E85 * 10000) + (F85 * 1000) + (G85 * 100) + (H85 * 10)</f>
        <v>0</v>
      </c>
      <c r="J85">
        <f>COUNTIF(I81:I94,"&lt;"&amp;I85)</f>
        <v>0</v>
      </c>
      <c r="K85">
        <f>COUNTIF(J81:J85,"="&amp;J85)</f>
        <v>0</v>
      </c>
      <c r="L85">
        <f>J85 + K85</f>
        <v>0</v>
      </c>
    </row>
    <row r="86" spans="3:12">
      <c r="C86" t="s">
        <v>556</v>
      </c>
      <c r="D86">
        <f>SUMIFS(C2:C71,A2:A71,C86,B2:B71,D80)</f>
        <v>0</v>
      </c>
      <c r="E86">
        <f>SUMIFS(C2:C71,A2:A71,C86,B2:B71,E80)</f>
        <v>0</v>
      </c>
      <c r="F86">
        <f>SUMIFS(C2:C71,A2:A71,C86,B2:B71,F80)</f>
        <v>0</v>
      </c>
      <c r="G86">
        <f>SUMIFS(C2:C71,A2:A71,C86,B2:B71,G80)</f>
        <v>0</v>
      </c>
      <c r="H86">
        <f>SUMIFS(C2:C71,A2:A71,C86,B2:B71,H80)</f>
        <v>0</v>
      </c>
      <c r="I86">
        <f>(D86 * 100000) + (E86 * 10000) + (F86 * 1000) + (G86 * 100) + (H86 * 10)</f>
        <v>0</v>
      </c>
      <c r="J86">
        <f>COUNTIF(I81:I94,"&lt;"&amp;I86)</f>
        <v>0</v>
      </c>
      <c r="K86">
        <f>COUNTIF(J81:J86,"="&amp;J86)</f>
        <v>0</v>
      </c>
      <c r="L86">
        <f>J86 + K86</f>
        <v>0</v>
      </c>
    </row>
    <row r="87" spans="3:12">
      <c r="C87" t="s">
        <v>561</v>
      </c>
      <c r="D87">
        <f>SUMIFS(C2:C71,A2:A71,C87,B2:B71,D80)</f>
        <v>0</v>
      </c>
      <c r="E87">
        <f>SUMIFS(C2:C71,A2:A71,C87,B2:B71,E80)</f>
        <v>0</v>
      </c>
      <c r="F87">
        <f>SUMIFS(C2:C71,A2:A71,C87,B2:B71,F80)</f>
        <v>0</v>
      </c>
      <c r="G87">
        <f>SUMIFS(C2:C71,A2:A71,C87,B2:B71,G80)</f>
        <v>0</v>
      </c>
      <c r="H87">
        <f>SUMIFS(C2:C71,A2:A71,C87,B2:B71,H80)</f>
        <v>0</v>
      </c>
      <c r="I87">
        <f>(D87 * 100000) + (E87 * 10000) + (F87 * 1000) + (G87 * 100) + (H87 * 10)</f>
        <v>0</v>
      </c>
      <c r="J87">
        <f>COUNTIF(I81:I94,"&lt;"&amp;I87)</f>
        <v>0</v>
      </c>
      <c r="K87">
        <f>COUNTIF(J81:J87,"="&amp;J87)</f>
        <v>0</v>
      </c>
      <c r="L87">
        <f>J87 + K87</f>
        <v>0</v>
      </c>
    </row>
    <row r="88" spans="3:12">
      <c r="C88" t="s">
        <v>563</v>
      </c>
      <c r="D88">
        <f>SUMIFS(C2:C71,A2:A71,C88,B2:B71,D80)</f>
        <v>0</v>
      </c>
      <c r="E88">
        <f>SUMIFS(C2:C71,A2:A71,C88,B2:B71,E80)</f>
        <v>0</v>
      </c>
      <c r="F88">
        <f>SUMIFS(C2:C71,A2:A71,C88,B2:B71,F80)</f>
        <v>0</v>
      </c>
      <c r="G88">
        <f>SUMIFS(C2:C71,A2:A71,C88,B2:B71,G80)</f>
        <v>0</v>
      </c>
      <c r="H88">
        <f>SUMIFS(C2:C71,A2:A71,C88,B2:B71,H80)</f>
        <v>0</v>
      </c>
      <c r="I88">
        <f>(D88 * 100000) + (E88 * 10000) + (F88 * 1000) + (G88 * 100) + (H88 * 10)</f>
        <v>0</v>
      </c>
      <c r="J88">
        <f>COUNTIF(I81:I94,"&lt;"&amp;I88)</f>
        <v>0</v>
      </c>
      <c r="K88">
        <f>COUNTIF(J81:J88,"="&amp;J88)</f>
        <v>0</v>
      </c>
      <c r="L88">
        <f>J88 + K88</f>
        <v>0</v>
      </c>
    </row>
    <row r="89" spans="3:12">
      <c r="C89" t="s">
        <v>574</v>
      </c>
      <c r="D89">
        <f>SUMIFS(C2:C71,A2:A71,C89,B2:B71,D80)</f>
        <v>0</v>
      </c>
      <c r="E89">
        <f>SUMIFS(C2:C71,A2:A71,C89,B2:B71,E80)</f>
        <v>0</v>
      </c>
      <c r="F89">
        <f>SUMIFS(C2:C71,A2:A71,C89,B2:B71,F80)</f>
        <v>0</v>
      </c>
      <c r="G89">
        <f>SUMIFS(C2:C71,A2:A71,C89,B2:B71,G80)</f>
        <v>0</v>
      </c>
      <c r="H89">
        <f>SUMIFS(C2:C71,A2:A71,C89,B2:B71,H80)</f>
        <v>0</v>
      </c>
      <c r="I89">
        <f>(D89 * 100000) + (E89 * 10000) + (F89 * 1000) + (G89 * 100) + (H89 * 10)</f>
        <v>0</v>
      </c>
      <c r="J89">
        <f>COUNTIF(I81:I94,"&lt;"&amp;I89)</f>
        <v>0</v>
      </c>
      <c r="K89">
        <f>COUNTIF(J81:J89,"="&amp;J89)</f>
        <v>0</v>
      </c>
      <c r="L89">
        <f>J89 + K89</f>
        <v>0</v>
      </c>
    </row>
    <row r="90" spans="3:12">
      <c r="C90" t="s">
        <v>576</v>
      </c>
      <c r="D90">
        <f>SUMIFS(C2:C71,A2:A71,C90,B2:B71,D80)</f>
        <v>0</v>
      </c>
      <c r="E90">
        <f>SUMIFS(C2:C71,A2:A71,C90,B2:B71,E80)</f>
        <v>0</v>
      </c>
      <c r="F90">
        <f>SUMIFS(C2:C71,A2:A71,C90,B2:B71,F80)</f>
        <v>0</v>
      </c>
      <c r="G90">
        <f>SUMIFS(C2:C71,A2:A71,C90,B2:B71,G80)</f>
        <v>0</v>
      </c>
      <c r="H90">
        <f>SUMIFS(C2:C71,A2:A71,C90,B2:B71,H80)</f>
        <v>0</v>
      </c>
      <c r="I90">
        <f>(D90 * 100000) + (E90 * 10000) + (F90 * 1000) + (G90 * 100) + (H90 * 10)</f>
        <v>0</v>
      </c>
      <c r="J90">
        <f>COUNTIF(I81:I94,"&lt;"&amp;I90)</f>
        <v>0</v>
      </c>
      <c r="K90">
        <f>COUNTIF(J81:J90,"="&amp;J90)</f>
        <v>0</v>
      </c>
      <c r="L90">
        <f>J90 + K90</f>
        <v>0</v>
      </c>
    </row>
    <row r="91" spans="3:12">
      <c r="C91" t="s">
        <v>610</v>
      </c>
      <c r="D91">
        <f>SUMIFS(C2:C71,A2:A71,C91,B2:B71,D80)</f>
        <v>0</v>
      </c>
      <c r="E91">
        <f>SUMIFS(C2:C71,A2:A71,C91,B2:B71,E80)</f>
        <v>0</v>
      </c>
      <c r="F91">
        <f>SUMIFS(C2:C71,A2:A71,C91,B2:B71,F80)</f>
        <v>0</v>
      </c>
      <c r="G91">
        <f>SUMIFS(C2:C71,A2:A71,C91,B2:B71,G80)</f>
        <v>0</v>
      </c>
      <c r="H91">
        <f>SUMIFS(C2:C71,A2:A71,C91,B2:B71,H80)</f>
        <v>0</v>
      </c>
      <c r="I91">
        <f>(D91 * 100000) + (E91 * 10000) + (F91 * 1000) + (G91 * 100) + (H91 * 10)</f>
        <v>0</v>
      </c>
      <c r="J91">
        <f>COUNTIF(I81:I94,"&lt;"&amp;I91)</f>
        <v>0</v>
      </c>
      <c r="K91">
        <f>COUNTIF(J81:J91,"="&amp;J91)</f>
        <v>0</v>
      </c>
      <c r="L91">
        <f>J91 + K91</f>
        <v>0</v>
      </c>
    </row>
    <row r="92" spans="3:12">
      <c r="C92" t="s">
        <v>596</v>
      </c>
      <c r="D92">
        <f>SUMIFS(C2:C71,A2:A71,C92,B2:B71,D80)</f>
        <v>0</v>
      </c>
      <c r="E92">
        <f>SUMIFS(C2:C71,A2:A71,C92,B2:B71,E80)</f>
        <v>0</v>
      </c>
      <c r="F92">
        <f>SUMIFS(C2:C71,A2:A71,C92,B2:B71,F80)</f>
        <v>0</v>
      </c>
      <c r="G92">
        <f>SUMIFS(C2:C71,A2:A71,C92,B2:B71,G80)</f>
        <v>0</v>
      </c>
      <c r="H92">
        <f>SUMIFS(C2:C71,A2:A71,C92,B2:B71,H80)</f>
        <v>0</v>
      </c>
      <c r="I92">
        <f>(D92 * 100000) + (E92 * 10000) + (F92 * 1000) + (G92 * 100) + (H92 * 10)</f>
        <v>0</v>
      </c>
      <c r="J92">
        <f>COUNTIF(I81:I94,"&lt;"&amp;I92)</f>
        <v>0</v>
      </c>
      <c r="K92">
        <f>COUNTIF(J81:J92,"="&amp;J92)</f>
        <v>0</v>
      </c>
      <c r="L92">
        <f>J92 + K92</f>
        <v>0</v>
      </c>
    </row>
    <row r="93" spans="3:12">
      <c r="C93" t="s">
        <v>600</v>
      </c>
      <c r="D93">
        <f>SUMIFS(C2:C71,A2:A71,C93,B2:B71,D80)</f>
        <v>0</v>
      </c>
      <c r="E93">
        <f>SUMIFS(C2:C71,A2:A71,C93,B2:B71,E80)</f>
        <v>0</v>
      </c>
      <c r="F93">
        <f>SUMIFS(C2:C71,A2:A71,C93,B2:B71,F80)</f>
        <v>0</v>
      </c>
      <c r="G93">
        <f>SUMIFS(C2:C71,A2:A71,C93,B2:B71,G80)</f>
        <v>0</v>
      </c>
      <c r="H93">
        <f>SUMIFS(C2:C71,A2:A71,C93,B2:B71,H80)</f>
        <v>0</v>
      </c>
      <c r="I93">
        <f>(D93 * 100000) + (E93 * 10000) + (F93 * 1000) + (G93 * 100) + (H93 * 10)</f>
        <v>0</v>
      </c>
      <c r="J93">
        <f>COUNTIF(I81:I94,"&lt;"&amp;I93)</f>
        <v>0</v>
      </c>
      <c r="K93">
        <f>COUNTIF(J81:J93,"="&amp;J93)</f>
        <v>0</v>
      </c>
      <c r="L93">
        <f>J93 + K93</f>
        <v>0</v>
      </c>
    </row>
    <row r="94" spans="3:12">
      <c r="C94" t="s">
        <v>602</v>
      </c>
      <c r="D94">
        <f>SUMIFS(C2:C71,A2:A71,C94,B2:B71,D80)</f>
        <v>0</v>
      </c>
      <c r="E94">
        <f>SUMIFS(C2:C71,A2:A71,C94,B2:B71,E80)</f>
        <v>0</v>
      </c>
      <c r="F94">
        <f>SUMIFS(C2:C71,A2:A71,C94,B2:B71,F80)</f>
        <v>0</v>
      </c>
      <c r="G94">
        <f>SUMIFS(C2:C71,A2:A71,C94,B2:B71,G80)</f>
        <v>0</v>
      </c>
      <c r="H94">
        <f>SUMIFS(C2:C71,A2:A71,C94,B2:B71,H80)</f>
        <v>0</v>
      </c>
      <c r="I94">
        <f>(D94 * 100000) + (E94 * 10000) + (F94 * 1000) + (G94 * 100) + (H94 * 10)</f>
        <v>0</v>
      </c>
      <c r="J94">
        <f>COUNTIF(I81:I94,"&lt;"&amp;I94)</f>
        <v>0</v>
      </c>
      <c r="K94">
        <f>COUNTIF(J81:J94,"="&amp;J94)</f>
        <v>0</v>
      </c>
      <c r="L94">
        <f>J94 + K94</f>
        <v>0</v>
      </c>
    </row>
    <row r="98" spans="1:15">
      <c r="A98" t="s">
        <v>628</v>
      </c>
    </row>
    <row r="99" spans="1:15">
      <c r="A99" t="s">
        <v>629</v>
      </c>
      <c r="B99" t="s">
        <v>630</v>
      </c>
      <c r="D99" t="s">
        <v>162</v>
      </c>
      <c r="E99" t="s">
        <v>163</v>
      </c>
      <c r="F99" t="s">
        <v>164</v>
      </c>
      <c r="G99" t="s">
        <v>165</v>
      </c>
      <c r="H99" t="s">
        <v>166</v>
      </c>
      <c r="I99" t="s">
        <v>631</v>
      </c>
      <c r="J99">
        <f>VLOOKUP("100% Done",DATA_SUPPORT!$D$2:$E$51,2)</f>
        <v>0</v>
      </c>
      <c r="K99">
        <f>VLOOKUP("75% to 99% Done",DATA_SUPPORT!$D$2:$E$51,2)</f>
        <v>0</v>
      </c>
      <c r="L99">
        <f>VLOOKUP("50% to 74% Done",DATA_SUPPORT!$D$2:$E$51,2)</f>
        <v>0</v>
      </c>
      <c r="M99">
        <f>VLOOKUP("25% to 49% Done",DATA_SUPPORT!$D$2:$E$51,2)</f>
        <v>0</v>
      </c>
      <c r="N99">
        <f>VLOOKUP("0% to 24% Done",DATA_SUPPORT!$D$2:$E$51,2)</f>
        <v>0</v>
      </c>
      <c r="O99" t="s">
        <v>632</v>
      </c>
    </row>
    <row r="100" spans="1:15">
      <c r="A100">
        <f>1</f>
        <v>0</v>
      </c>
      <c r="B100">
        <f>MATCH(A100, L81:L94, 0)</f>
        <v>0</v>
      </c>
      <c r="C100">
        <f>INDEX(C81:C94, B100, 1)</f>
        <v>0</v>
      </c>
      <c r="D100">
        <f>INDEX(D81:D94, B100, 1)</f>
        <v>0</v>
      </c>
      <c r="E100">
        <f>INDEX(E81:E94, B100, 1)</f>
        <v>0</v>
      </c>
      <c r="F100">
        <f>INDEX(F81:F94, B100, 1)</f>
        <v>0</v>
      </c>
      <c r="G100">
        <f>INDEX(G81:G94, B100, 1)</f>
        <v>0</v>
      </c>
      <c r="H100">
        <f>INDEX(H81:H94, B100, 1)</f>
        <v>0</v>
      </c>
      <c r="I100">
        <f>VLOOKUP(C100,DATA_SUPPORT!$D$2:$E$51,2)</f>
        <v>0</v>
      </c>
      <c r="J100">
        <f>D100*DATA_SUPPORT!$G$5</f>
        <v>0</v>
      </c>
      <c r="K100">
        <f>E100*DATA_SUPPORT!$G$5</f>
        <v>0</v>
      </c>
      <c r="L100">
        <f>F100*DATA_SUPPORT!$G$5</f>
        <v>0</v>
      </c>
      <c r="M100">
        <f>G100*DATA_SUPPORT!$G$5</f>
        <v>0</v>
      </c>
      <c r="N100">
        <f>H100*DATA_SUPPORT!$G$5</f>
        <v>0</v>
      </c>
      <c r="O100">
        <f>CHAR(34) &amp; J99 &amp; CHAR(34) &amp; ":" &amp; J100 &amp; ", " &amp; CHAR(34) &amp; K99 &amp; CHAR(34) &amp; ":" &amp; K100 &amp; ", " &amp; CHAR(34) &amp; L99 &amp; CHAR(34) &amp; ":" &amp; L100 &amp; ", " &amp; CHAR(34) &amp; M99 &amp; CHAR(34) &amp; ":" &amp; M100 &amp; ", " &amp; CHAR(34) &amp; N99 &amp; CHAR(34) &amp; ":" &amp; N100</f>
        <v>0</v>
      </c>
    </row>
    <row r="101" spans="1:15">
      <c r="A101">
        <f>2</f>
        <v>0</v>
      </c>
      <c r="B101">
        <f>MATCH(A101, L81:L94, 0)</f>
        <v>0</v>
      </c>
      <c r="C101">
        <f>INDEX(C81:C94, B101, 1)</f>
        <v>0</v>
      </c>
      <c r="D101">
        <f>INDEX(D81:D94, B101, 1)</f>
        <v>0</v>
      </c>
      <c r="E101">
        <f>INDEX(E81:E94, B101, 1)</f>
        <v>0</v>
      </c>
      <c r="F101">
        <f>INDEX(F81:F94, B101, 1)</f>
        <v>0</v>
      </c>
      <c r="G101">
        <f>INDEX(G81:G94, B101, 1)</f>
        <v>0</v>
      </c>
      <c r="H101">
        <f>INDEX(H81:H94, B101, 1)</f>
        <v>0</v>
      </c>
      <c r="I101">
        <f>VLOOKUP(C101,DATA_SUPPORT!$D$2:$E$51,2)</f>
        <v>0</v>
      </c>
      <c r="J101">
        <f>D101*DATA_SUPPORT!$G$5</f>
        <v>0</v>
      </c>
      <c r="K101">
        <f>E101*DATA_SUPPORT!$G$5</f>
        <v>0</v>
      </c>
      <c r="L101">
        <f>F101*DATA_SUPPORT!$G$5</f>
        <v>0</v>
      </c>
      <c r="M101">
        <f>G101*DATA_SUPPORT!$G$5</f>
        <v>0</v>
      </c>
      <c r="N101">
        <f>H101*DATA_SUPPORT!$G$5</f>
        <v>0</v>
      </c>
      <c r="O101">
        <f>CHAR(34) &amp; J99 &amp; CHAR(34) &amp; ":" &amp; J101 &amp; ", " &amp; CHAR(34) &amp; K99 &amp; CHAR(34) &amp; ":" &amp; K101 &amp; ", " &amp; CHAR(34) &amp; L99 &amp; CHAR(34) &amp; ":" &amp; L101 &amp; ", " &amp; CHAR(34) &amp; M99 &amp; CHAR(34) &amp; ":" &amp; M101 &amp; ", " &amp; CHAR(34) &amp; N99 &amp; CHAR(34) &amp; ":" &amp; N101</f>
        <v>0</v>
      </c>
    </row>
    <row r="102" spans="1:15">
      <c r="A102">
        <f>3</f>
        <v>0</v>
      </c>
      <c r="B102">
        <f>MATCH(A102, L81:L94, 0)</f>
        <v>0</v>
      </c>
      <c r="C102">
        <f>INDEX(C81:C94, B102, 1)</f>
        <v>0</v>
      </c>
      <c r="D102">
        <f>INDEX(D81:D94, B102, 1)</f>
        <v>0</v>
      </c>
      <c r="E102">
        <f>INDEX(E81:E94, B102, 1)</f>
        <v>0</v>
      </c>
      <c r="F102">
        <f>INDEX(F81:F94, B102, 1)</f>
        <v>0</v>
      </c>
      <c r="G102">
        <f>INDEX(G81:G94, B102, 1)</f>
        <v>0</v>
      </c>
      <c r="H102">
        <f>INDEX(H81:H94, B102, 1)</f>
        <v>0</v>
      </c>
      <c r="I102">
        <f>VLOOKUP(C102,DATA_SUPPORT!$D$2:$E$51,2)</f>
        <v>0</v>
      </c>
      <c r="J102">
        <f>D102*DATA_SUPPORT!$G$5</f>
        <v>0</v>
      </c>
      <c r="K102">
        <f>E102*DATA_SUPPORT!$G$5</f>
        <v>0</v>
      </c>
      <c r="L102">
        <f>F102*DATA_SUPPORT!$G$5</f>
        <v>0</v>
      </c>
      <c r="M102">
        <f>G102*DATA_SUPPORT!$G$5</f>
        <v>0</v>
      </c>
      <c r="N102">
        <f>H102*DATA_SUPPORT!$G$5</f>
        <v>0</v>
      </c>
      <c r="O102">
        <f>CHAR(34) &amp; J99 &amp; CHAR(34) &amp; ":" &amp; J102 &amp; ", " &amp; CHAR(34) &amp; K99 &amp; CHAR(34) &amp; ":" &amp; K102 &amp; ", " &amp; CHAR(34) &amp; L99 &amp; CHAR(34) &amp; ":" &amp; L102 &amp; ", " &amp; CHAR(34) &amp; M99 &amp; CHAR(34) &amp; ":" &amp; M102 &amp; ", " &amp; CHAR(34) &amp; N99 &amp; CHAR(34) &amp; ":" &amp; N102</f>
        <v>0</v>
      </c>
    </row>
    <row r="103" spans="1:15">
      <c r="A103">
        <f>4</f>
        <v>0</v>
      </c>
      <c r="B103">
        <f>MATCH(A103, L81:L94, 0)</f>
        <v>0</v>
      </c>
      <c r="C103">
        <f>INDEX(C81:C94, B103, 1)</f>
        <v>0</v>
      </c>
      <c r="D103">
        <f>INDEX(D81:D94, B103, 1)</f>
        <v>0</v>
      </c>
      <c r="E103">
        <f>INDEX(E81:E94, B103, 1)</f>
        <v>0</v>
      </c>
      <c r="F103">
        <f>INDEX(F81:F94, B103, 1)</f>
        <v>0</v>
      </c>
      <c r="G103">
        <f>INDEX(G81:G94, B103, 1)</f>
        <v>0</v>
      </c>
      <c r="H103">
        <f>INDEX(H81:H94, B103, 1)</f>
        <v>0</v>
      </c>
      <c r="I103">
        <f>VLOOKUP(C103,DATA_SUPPORT!$D$2:$E$51,2)</f>
        <v>0</v>
      </c>
      <c r="J103">
        <f>D103*DATA_SUPPORT!$G$5</f>
        <v>0</v>
      </c>
      <c r="K103">
        <f>E103*DATA_SUPPORT!$G$5</f>
        <v>0</v>
      </c>
      <c r="L103">
        <f>F103*DATA_SUPPORT!$G$5</f>
        <v>0</v>
      </c>
      <c r="M103">
        <f>G103*DATA_SUPPORT!$G$5</f>
        <v>0</v>
      </c>
      <c r="N103">
        <f>H103*DATA_SUPPORT!$G$5</f>
        <v>0</v>
      </c>
      <c r="O103">
        <f>CHAR(34) &amp; J99 &amp; CHAR(34) &amp; ":" &amp; J103 &amp; ", " &amp; CHAR(34) &amp; K99 &amp; CHAR(34) &amp; ":" &amp; K103 &amp; ", " &amp; CHAR(34) &amp; L99 &amp; CHAR(34) &amp; ":" &amp; L103 &amp; ", " &amp; CHAR(34) &amp; M99 &amp; CHAR(34) &amp; ":" &amp; M103 &amp; ", " &amp; CHAR(34) &amp; N99 &amp; CHAR(34) &amp; ":" &amp; N103</f>
        <v>0</v>
      </c>
    </row>
    <row r="104" spans="1:15">
      <c r="A104">
        <f>5</f>
        <v>0</v>
      </c>
      <c r="B104">
        <f>MATCH(A104, L81:L94, 0)</f>
        <v>0</v>
      </c>
      <c r="C104">
        <f>INDEX(C81:C94, B104, 1)</f>
        <v>0</v>
      </c>
      <c r="D104">
        <f>INDEX(D81:D94, B104, 1)</f>
        <v>0</v>
      </c>
      <c r="E104">
        <f>INDEX(E81:E94, B104, 1)</f>
        <v>0</v>
      </c>
      <c r="F104">
        <f>INDEX(F81:F94, B104, 1)</f>
        <v>0</v>
      </c>
      <c r="G104">
        <f>INDEX(G81:G94, B104, 1)</f>
        <v>0</v>
      </c>
      <c r="H104">
        <f>INDEX(H81:H94, B104, 1)</f>
        <v>0</v>
      </c>
      <c r="I104">
        <f>VLOOKUP(C104,DATA_SUPPORT!$D$2:$E$51,2)</f>
        <v>0</v>
      </c>
      <c r="J104">
        <f>D104*DATA_SUPPORT!$G$5</f>
        <v>0</v>
      </c>
      <c r="K104">
        <f>E104*DATA_SUPPORT!$G$5</f>
        <v>0</v>
      </c>
      <c r="L104">
        <f>F104*DATA_SUPPORT!$G$5</f>
        <v>0</v>
      </c>
      <c r="M104">
        <f>G104*DATA_SUPPORT!$G$5</f>
        <v>0</v>
      </c>
      <c r="N104">
        <f>H104*DATA_SUPPORT!$G$5</f>
        <v>0</v>
      </c>
      <c r="O104">
        <f>CHAR(34) &amp; J99 &amp; CHAR(34) &amp; ":" &amp; J104 &amp; ", " &amp; CHAR(34) &amp; K99 &amp; CHAR(34) &amp; ":" &amp; K104 &amp; ", " &amp; CHAR(34) &amp; L99 &amp; CHAR(34) &amp; ":" &amp; L104 &amp; ", " &amp; CHAR(34) &amp; M99 &amp; CHAR(34) &amp; ":" &amp; M104 &amp; ", " &amp; CHAR(34) &amp; N99 &amp; CHAR(34) &amp; ":" &amp; N104</f>
        <v>0</v>
      </c>
    </row>
    <row r="105" spans="1:15">
      <c r="A105">
        <f>6</f>
        <v>0</v>
      </c>
      <c r="B105">
        <f>MATCH(A105, L81:L94, 0)</f>
        <v>0</v>
      </c>
      <c r="C105">
        <f>INDEX(C81:C94, B105, 1)</f>
        <v>0</v>
      </c>
      <c r="D105">
        <f>INDEX(D81:D94, B105, 1)</f>
        <v>0</v>
      </c>
      <c r="E105">
        <f>INDEX(E81:E94, B105, 1)</f>
        <v>0</v>
      </c>
      <c r="F105">
        <f>INDEX(F81:F94, B105, 1)</f>
        <v>0</v>
      </c>
      <c r="G105">
        <f>INDEX(G81:G94, B105, 1)</f>
        <v>0</v>
      </c>
      <c r="H105">
        <f>INDEX(H81:H94, B105, 1)</f>
        <v>0</v>
      </c>
      <c r="I105">
        <f>VLOOKUP(C105,DATA_SUPPORT!$D$2:$E$51,2)</f>
        <v>0</v>
      </c>
      <c r="J105">
        <f>D105*DATA_SUPPORT!$G$5</f>
        <v>0</v>
      </c>
      <c r="K105">
        <f>E105*DATA_SUPPORT!$G$5</f>
        <v>0</v>
      </c>
      <c r="L105">
        <f>F105*DATA_SUPPORT!$G$5</f>
        <v>0</v>
      </c>
      <c r="M105">
        <f>G105*DATA_SUPPORT!$G$5</f>
        <v>0</v>
      </c>
      <c r="N105">
        <f>H105*DATA_SUPPORT!$G$5</f>
        <v>0</v>
      </c>
      <c r="O105">
        <f>CHAR(34) &amp; J99 &amp; CHAR(34) &amp; ":" &amp; J105 &amp; ", " &amp; CHAR(34) &amp; K99 &amp; CHAR(34) &amp; ":" &amp; K105 &amp; ", " &amp; CHAR(34) &amp; L99 &amp; CHAR(34) &amp; ":" &amp; L105 &amp; ", " &amp; CHAR(34) &amp; M99 &amp; CHAR(34) &amp; ":" &amp; M105 &amp; ", " &amp; CHAR(34) &amp; N99 &amp; CHAR(34) &amp; ":" &amp; N105</f>
        <v>0</v>
      </c>
    </row>
    <row r="106" spans="1:15">
      <c r="A106">
        <f>7</f>
        <v>0</v>
      </c>
      <c r="B106">
        <f>MATCH(A106, L81:L94, 0)</f>
        <v>0</v>
      </c>
      <c r="C106">
        <f>INDEX(C81:C94, B106, 1)</f>
        <v>0</v>
      </c>
      <c r="D106">
        <f>INDEX(D81:D94, B106, 1)</f>
        <v>0</v>
      </c>
      <c r="E106">
        <f>INDEX(E81:E94, B106, 1)</f>
        <v>0</v>
      </c>
      <c r="F106">
        <f>INDEX(F81:F94, B106, 1)</f>
        <v>0</v>
      </c>
      <c r="G106">
        <f>INDEX(G81:G94, B106, 1)</f>
        <v>0</v>
      </c>
      <c r="H106">
        <f>INDEX(H81:H94, B106, 1)</f>
        <v>0</v>
      </c>
      <c r="I106">
        <f>VLOOKUP(C106,DATA_SUPPORT!$D$2:$E$51,2)</f>
        <v>0</v>
      </c>
      <c r="J106">
        <f>D106*DATA_SUPPORT!$G$5</f>
        <v>0</v>
      </c>
      <c r="K106">
        <f>E106*DATA_SUPPORT!$G$5</f>
        <v>0</v>
      </c>
      <c r="L106">
        <f>F106*DATA_SUPPORT!$G$5</f>
        <v>0</v>
      </c>
      <c r="M106">
        <f>G106*DATA_SUPPORT!$G$5</f>
        <v>0</v>
      </c>
      <c r="N106">
        <f>H106*DATA_SUPPORT!$G$5</f>
        <v>0</v>
      </c>
      <c r="O106">
        <f>CHAR(34) &amp; J99 &amp; CHAR(34) &amp; ":" &amp; J106 &amp; ", " &amp; CHAR(34) &amp; K99 &amp; CHAR(34) &amp; ":" &amp; K106 &amp; ", " &amp; CHAR(34) &amp; L99 &amp; CHAR(34) &amp; ":" &amp; L106 &amp; ", " &amp; CHAR(34) &amp; M99 &amp; CHAR(34) &amp; ":" &amp; M106 &amp; ", " &amp; CHAR(34) &amp; N99 &amp; CHAR(34) &amp; ":" &amp; N106</f>
        <v>0</v>
      </c>
    </row>
    <row r="107" spans="1:15">
      <c r="A107">
        <f>8</f>
        <v>0</v>
      </c>
      <c r="B107">
        <f>MATCH(A107, L81:L94, 0)</f>
        <v>0</v>
      </c>
      <c r="C107">
        <f>INDEX(C81:C94, B107, 1)</f>
        <v>0</v>
      </c>
      <c r="D107">
        <f>INDEX(D81:D94, B107, 1)</f>
        <v>0</v>
      </c>
      <c r="E107">
        <f>INDEX(E81:E94, B107, 1)</f>
        <v>0</v>
      </c>
      <c r="F107">
        <f>INDEX(F81:F94, B107, 1)</f>
        <v>0</v>
      </c>
      <c r="G107">
        <f>INDEX(G81:G94, B107, 1)</f>
        <v>0</v>
      </c>
      <c r="H107">
        <f>INDEX(H81:H94, B107, 1)</f>
        <v>0</v>
      </c>
      <c r="I107">
        <f>VLOOKUP(C107,DATA_SUPPORT!$D$2:$E$51,2)</f>
        <v>0</v>
      </c>
      <c r="J107">
        <f>D107*DATA_SUPPORT!$G$5</f>
        <v>0</v>
      </c>
      <c r="K107">
        <f>E107*DATA_SUPPORT!$G$5</f>
        <v>0</v>
      </c>
      <c r="L107">
        <f>F107*DATA_SUPPORT!$G$5</f>
        <v>0</v>
      </c>
      <c r="M107">
        <f>G107*DATA_SUPPORT!$G$5</f>
        <v>0</v>
      </c>
      <c r="N107">
        <f>H107*DATA_SUPPORT!$G$5</f>
        <v>0</v>
      </c>
      <c r="O107">
        <f>CHAR(34) &amp; J99 &amp; CHAR(34) &amp; ":" &amp; J107 &amp; ", " &amp; CHAR(34) &amp; K99 &amp; CHAR(34) &amp; ":" &amp; K107 &amp; ", " &amp; CHAR(34) &amp; L99 &amp; CHAR(34) &amp; ":" &amp; L107 &amp; ", " &amp; CHAR(34) &amp; M99 &amp; CHAR(34) &amp; ":" &amp; M107 &amp; ", " &amp; CHAR(34) &amp; N99 &amp; CHAR(34) &amp; ":" &amp; N107</f>
        <v>0</v>
      </c>
    </row>
    <row r="108" spans="1:15">
      <c r="A108">
        <f>9</f>
        <v>0</v>
      </c>
      <c r="B108">
        <f>MATCH(A108, L81:L94, 0)</f>
        <v>0</v>
      </c>
      <c r="C108">
        <f>INDEX(C81:C94, B108, 1)</f>
        <v>0</v>
      </c>
      <c r="D108">
        <f>INDEX(D81:D94, B108, 1)</f>
        <v>0</v>
      </c>
      <c r="E108">
        <f>INDEX(E81:E94, B108, 1)</f>
        <v>0</v>
      </c>
      <c r="F108">
        <f>INDEX(F81:F94, B108, 1)</f>
        <v>0</v>
      </c>
      <c r="G108">
        <f>INDEX(G81:G94, B108, 1)</f>
        <v>0</v>
      </c>
      <c r="H108">
        <f>INDEX(H81:H94, B108, 1)</f>
        <v>0</v>
      </c>
      <c r="I108">
        <f>VLOOKUP(C108,DATA_SUPPORT!$D$2:$E$51,2)</f>
        <v>0</v>
      </c>
      <c r="J108">
        <f>D108*DATA_SUPPORT!$G$5</f>
        <v>0</v>
      </c>
      <c r="K108">
        <f>E108*DATA_SUPPORT!$G$5</f>
        <v>0</v>
      </c>
      <c r="L108">
        <f>F108*DATA_SUPPORT!$G$5</f>
        <v>0</v>
      </c>
      <c r="M108">
        <f>G108*DATA_SUPPORT!$G$5</f>
        <v>0</v>
      </c>
      <c r="N108">
        <f>H108*DATA_SUPPORT!$G$5</f>
        <v>0</v>
      </c>
      <c r="O108">
        <f>CHAR(34) &amp; J99 &amp; CHAR(34) &amp; ":" &amp; J108 &amp; ", " &amp; CHAR(34) &amp; K99 &amp; CHAR(34) &amp; ":" &amp; K108 &amp; ", " &amp; CHAR(34) &amp; L99 &amp; CHAR(34) &amp; ":" &amp; L108 &amp; ", " &amp; CHAR(34) &amp; M99 &amp; CHAR(34) &amp; ":" &amp; M108 &amp; ", " &amp; CHAR(34) &amp; N99 &amp; CHAR(34) &amp; ":" &amp; N108</f>
        <v>0</v>
      </c>
    </row>
    <row r="109" spans="1:15">
      <c r="A109">
        <f>10</f>
        <v>0</v>
      </c>
      <c r="B109">
        <f>MATCH(A109, L81:L94, 0)</f>
        <v>0</v>
      </c>
      <c r="C109">
        <f>INDEX(C81:C94, B109, 1)</f>
        <v>0</v>
      </c>
      <c r="D109">
        <f>INDEX(D81:D94, B109, 1)</f>
        <v>0</v>
      </c>
      <c r="E109">
        <f>INDEX(E81:E94, B109, 1)</f>
        <v>0</v>
      </c>
      <c r="F109">
        <f>INDEX(F81:F94, B109, 1)</f>
        <v>0</v>
      </c>
      <c r="G109">
        <f>INDEX(G81:G94, B109, 1)</f>
        <v>0</v>
      </c>
      <c r="H109">
        <f>INDEX(H81:H94, B109, 1)</f>
        <v>0</v>
      </c>
      <c r="I109">
        <f>VLOOKUP(C109,DATA_SUPPORT!$D$2:$E$51,2)</f>
        <v>0</v>
      </c>
      <c r="J109">
        <f>D109*DATA_SUPPORT!$G$5</f>
        <v>0</v>
      </c>
      <c r="K109">
        <f>E109*DATA_SUPPORT!$G$5</f>
        <v>0</v>
      </c>
      <c r="L109">
        <f>F109*DATA_SUPPORT!$G$5</f>
        <v>0</v>
      </c>
      <c r="M109">
        <f>G109*DATA_SUPPORT!$G$5</f>
        <v>0</v>
      </c>
      <c r="N109">
        <f>H109*DATA_SUPPORT!$G$5</f>
        <v>0</v>
      </c>
      <c r="O109">
        <f>CHAR(34) &amp; J99 &amp; CHAR(34) &amp; ":" &amp; J109 &amp; ", " &amp; CHAR(34) &amp; K99 &amp; CHAR(34) &amp; ":" &amp; K109 &amp; ", " &amp; CHAR(34) &amp; L99 &amp; CHAR(34) &amp; ":" &amp; L109 &amp; ", " &amp; CHAR(34) &amp; M99 &amp; CHAR(34) &amp; ":" &amp; M109 &amp; ", " &amp; CHAR(34) &amp; N99 &amp; CHAR(34) &amp; ":" &amp; N109</f>
        <v>0</v>
      </c>
    </row>
    <row r="110" spans="1:15">
      <c r="A110">
        <f>11</f>
        <v>0</v>
      </c>
      <c r="B110">
        <f>MATCH(A110, L81:L94, 0)</f>
        <v>0</v>
      </c>
      <c r="C110">
        <f>INDEX(C81:C94, B110, 1)</f>
        <v>0</v>
      </c>
      <c r="D110">
        <f>INDEX(D81:D94, B110, 1)</f>
        <v>0</v>
      </c>
      <c r="E110">
        <f>INDEX(E81:E94, B110, 1)</f>
        <v>0</v>
      </c>
      <c r="F110">
        <f>INDEX(F81:F94, B110, 1)</f>
        <v>0</v>
      </c>
      <c r="G110">
        <f>INDEX(G81:G94, B110, 1)</f>
        <v>0</v>
      </c>
      <c r="H110">
        <f>INDEX(H81:H94, B110, 1)</f>
        <v>0</v>
      </c>
      <c r="I110">
        <f>VLOOKUP(C110,DATA_SUPPORT!$D$2:$E$51,2)</f>
        <v>0</v>
      </c>
      <c r="J110">
        <f>D110*DATA_SUPPORT!$G$5</f>
        <v>0</v>
      </c>
      <c r="K110">
        <f>E110*DATA_SUPPORT!$G$5</f>
        <v>0</v>
      </c>
      <c r="L110">
        <f>F110*DATA_SUPPORT!$G$5</f>
        <v>0</v>
      </c>
      <c r="M110">
        <f>G110*DATA_SUPPORT!$G$5</f>
        <v>0</v>
      </c>
      <c r="N110">
        <f>H110*DATA_SUPPORT!$G$5</f>
        <v>0</v>
      </c>
      <c r="O110">
        <f>CHAR(34) &amp; J99 &amp; CHAR(34) &amp; ":" &amp; J110 &amp; ", " &amp; CHAR(34) &amp; K99 &amp; CHAR(34) &amp; ":" &amp; K110 &amp; ", " &amp; CHAR(34) &amp; L99 &amp; CHAR(34) &amp; ":" &amp; L110 &amp; ", " &amp; CHAR(34) &amp; M99 &amp; CHAR(34) &amp; ":" &amp; M110 &amp; ", " &amp; CHAR(34) &amp; N99 &amp; CHAR(34) &amp; ":" &amp; N110</f>
        <v>0</v>
      </c>
    </row>
    <row r="111" spans="1:15">
      <c r="A111">
        <f>12</f>
        <v>0</v>
      </c>
      <c r="B111">
        <f>MATCH(A111, L81:L94, 0)</f>
        <v>0</v>
      </c>
      <c r="C111">
        <f>INDEX(C81:C94, B111, 1)</f>
        <v>0</v>
      </c>
      <c r="D111">
        <f>INDEX(D81:D94, B111, 1)</f>
        <v>0</v>
      </c>
      <c r="E111">
        <f>INDEX(E81:E94, B111, 1)</f>
        <v>0</v>
      </c>
      <c r="F111">
        <f>INDEX(F81:F94, B111, 1)</f>
        <v>0</v>
      </c>
      <c r="G111">
        <f>INDEX(G81:G94, B111, 1)</f>
        <v>0</v>
      </c>
      <c r="H111">
        <f>INDEX(H81:H94, B111, 1)</f>
        <v>0</v>
      </c>
      <c r="I111">
        <f>VLOOKUP(C111,DATA_SUPPORT!$D$2:$E$51,2)</f>
        <v>0</v>
      </c>
      <c r="J111">
        <f>D111*DATA_SUPPORT!$G$5</f>
        <v>0</v>
      </c>
      <c r="K111">
        <f>E111*DATA_SUPPORT!$G$5</f>
        <v>0</v>
      </c>
      <c r="L111">
        <f>F111*DATA_SUPPORT!$G$5</f>
        <v>0</v>
      </c>
      <c r="M111">
        <f>G111*DATA_SUPPORT!$G$5</f>
        <v>0</v>
      </c>
      <c r="N111">
        <f>H111*DATA_SUPPORT!$G$5</f>
        <v>0</v>
      </c>
      <c r="O111">
        <f>CHAR(34) &amp; J99 &amp; CHAR(34) &amp; ":" &amp; J111 &amp; ", " &amp; CHAR(34) &amp; K99 &amp; CHAR(34) &amp; ":" &amp; K111 &amp; ", " &amp; CHAR(34) &amp; L99 &amp; CHAR(34) &amp; ":" &amp; L111 &amp; ", " &amp; CHAR(34) &amp; M99 &amp; CHAR(34) &amp; ":" &amp; M111 &amp; ", " &amp; CHAR(34) &amp; N99 &amp; CHAR(34) &amp; ":" &amp; N111</f>
        <v>0</v>
      </c>
    </row>
    <row r="112" spans="1:15">
      <c r="A112">
        <f>13</f>
        <v>0</v>
      </c>
      <c r="B112">
        <f>MATCH(A112, L81:L94, 0)</f>
        <v>0</v>
      </c>
      <c r="C112">
        <f>INDEX(C81:C94, B112, 1)</f>
        <v>0</v>
      </c>
      <c r="D112">
        <f>INDEX(D81:D94, B112, 1)</f>
        <v>0</v>
      </c>
      <c r="E112">
        <f>INDEX(E81:E94, B112, 1)</f>
        <v>0</v>
      </c>
      <c r="F112">
        <f>INDEX(F81:F94, B112, 1)</f>
        <v>0</v>
      </c>
      <c r="G112">
        <f>INDEX(G81:G94, B112, 1)</f>
        <v>0</v>
      </c>
      <c r="H112">
        <f>INDEX(H81:H94, B112, 1)</f>
        <v>0</v>
      </c>
      <c r="I112">
        <f>VLOOKUP(C112,DATA_SUPPORT!$D$2:$E$51,2)</f>
        <v>0</v>
      </c>
      <c r="J112">
        <f>D112*DATA_SUPPORT!$G$5</f>
        <v>0</v>
      </c>
      <c r="K112">
        <f>E112*DATA_SUPPORT!$G$5</f>
        <v>0</v>
      </c>
      <c r="L112">
        <f>F112*DATA_SUPPORT!$G$5</f>
        <v>0</v>
      </c>
      <c r="M112">
        <f>G112*DATA_SUPPORT!$G$5</f>
        <v>0</v>
      </c>
      <c r="N112">
        <f>H112*DATA_SUPPORT!$G$5</f>
        <v>0</v>
      </c>
      <c r="O112">
        <f>CHAR(34) &amp; J99 &amp; CHAR(34) &amp; ":" &amp; J112 &amp; ", " &amp; CHAR(34) &amp; K99 &amp; CHAR(34) &amp; ":" &amp; K112 &amp; ", " &amp; CHAR(34) &amp; L99 &amp; CHAR(34) &amp; ":" &amp; L112 &amp; ", " &amp; CHAR(34) &amp; M99 &amp; CHAR(34) &amp; ":" &amp; M112 &amp; ", " &amp; CHAR(34) &amp; N99 &amp; CHAR(34) &amp; ":" &amp; N112</f>
        <v>0</v>
      </c>
    </row>
    <row r="113" spans="1:15">
      <c r="A113">
        <f>14</f>
        <v>0</v>
      </c>
      <c r="B113">
        <f>MATCH(A113, L81:L94, 0)</f>
        <v>0</v>
      </c>
      <c r="C113">
        <f>INDEX(C81:C94, B113, 1)</f>
        <v>0</v>
      </c>
      <c r="D113">
        <f>INDEX(D81:D94, B113, 1)</f>
        <v>0</v>
      </c>
      <c r="E113">
        <f>INDEX(E81:E94, B113, 1)</f>
        <v>0</v>
      </c>
      <c r="F113">
        <f>INDEX(F81:F94, B113, 1)</f>
        <v>0</v>
      </c>
      <c r="G113">
        <f>INDEX(G81:G94, B113, 1)</f>
        <v>0</v>
      </c>
      <c r="H113">
        <f>INDEX(H81:H94, B113, 1)</f>
        <v>0</v>
      </c>
      <c r="I113">
        <f>VLOOKUP(C113,DATA_SUPPORT!$D$2:$E$51,2)</f>
        <v>0</v>
      </c>
      <c r="J113">
        <f>D113*DATA_SUPPORT!$G$5</f>
        <v>0</v>
      </c>
      <c r="K113">
        <f>E113*DATA_SUPPORT!$G$5</f>
        <v>0</v>
      </c>
      <c r="L113">
        <f>F113*DATA_SUPPORT!$G$5</f>
        <v>0</v>
      </c>
      <c r="M113">
        <f>G113*DATA_SUPPORT!$G$5</f>
        <v>0</v>
      </c>
      <c r="N113">
        <f>H113*DATA_SUPPORT!$G$5</f>
        <v>0</v>
      </c>
      <c r="O113">
        <f>CHAR(34) &amp; J99 &amp; CHAR(34) &amp; ":" &amp; J113 &amp; ", " &amp; CHAR(34) &amp; K99 &amp; CHAR(34) &amp; ":" &amp; K113 &amp; ", " &amp; CHAR(34) &amp; L99 &amp; CHAR(34) &amp; ":" &amp; L113 &amp; ", " &amp; CHAR(34) &amp; M99 &amp; CHAR(34) &amp; ":" &amp; M113 &amp; ", " &amp; CHAR(34) &amp; N99 &amp; CHAR(34) &amp; ":" &amp; N113</f>
        <v>0</v>
      </c>
    </row>
    <row r="116" spans="1:15">
      <c r="I116">
        <f>"{" &amp; char(34)&amp;I100&amp;char(34)&amp;": {"&amp;O100&amp;"}" &amp;", "  &amp; char(34)&amp;I101&amp;char(34)&amp;": {"&amp;O101&amp;"}" &amp;", "  &amp; char(34)&amp;I102&amp;char(34)&amp;": {"&amp;O102&amp;"}" &amp;", "  &amp; char(34)&amp;I103&amp;char(34)&amp;": {"&amp;O103&amp;"}" &amp;", "  &amp; char(34)&amp;I104&amp;char(34)&amp;": {"&amp;O104&amp;"}" &amp;", "  &amp; char(34)&amp;I105&amp;char(34)&amp;": {"&amp;O105&amp;"}" &amp;", "  &amp; char(34)&amp;I106&amp;char(34)&amp;": {"&amp;O106&amp;"}" &amp;", "  &amp; char(34)&amp;I107&amp;char(34)&amp;": {"&amp;O107&amp;"}" &amp;", "  &amp; char(34)&amp;I108&amp;char(34)&amp;": {"&amp;O108&amp;"}" &amp;", "  &amp; char(34)&amp;I109&amp;char(34)&amp;": {"&amp;O109&amp;"}" &amp;", "  &amp; char(34)&amp;I110&amp;char(34)&amp;": {"&amp;O110&amp;"}" &amp;", "  &amp; char(34)&amp;I111&amp;char(34)&amp;": {"&amp;O111&amp;"}" &amp;", "  &amp; char(34)&amp;I112&amp;char(34)&amp;": {"&amp;O112&amp;"}" &amp;", "  &amp; char(34)&amp;I113&amp;char(34)&amp;": {"&amp;O113&amp;"}"  &amp; "}"</f>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M8"/>
  <sheetViews>
    <sheetView showGridLines="0" workbookViewId="0"/>
  </sheetViews>
  <sheetFormatPr defaultRowHeight="15"/>
  <sheetData>
    <row r="1" spans="1:13">
      <c r="A1" s="2" t="s">
        <v>622</v>
      </c>
      <c r="B1" s="2"/>
      <c r="C1" s="2"/>
      <c r="D1" s="2"/>
      <c r="E1" s="2"/>
      <c r="F1" s="2"/>
      <c r="G1" s="2"/>
      <c r="H1" s="2"/>
      <c r="I1" s="2"/>
      <c r="J1" s="2"/>
      <c r="K1" s="2"/>
      <c r="L1" s="2"/>
      <c r="M1" s="2"/>
    </row>
    <row r="2" spans="1:13">
      <c r="A2" s="15" t="s">
        <v>39</v>
      </c>
      <c r="B2" s="16" t="s">
        <v>40</v>
      </c>
      <c r="C2" s="16"/>
      <c r="D2" s="16"/>
      <c r="E2" s="16" t="s">
        <v>41</v>
      </c>
      <c r="F2" s="16"/>
      <c r="G2" s="16"/>
      <c r="H2" s="16" t="s">
        <v>42</v>
      </c>
      <c r="I2" s="16"/>
      <c r="J2" s="16"/>
    </row>
    <row r="3" spans="1:13">
      <c r="A3" s="17"/>
      <c r="B3" s="17" t="s">
        <v>43</v>
      </c>
      <c r="C3" s="17"/>
      <c r="D3" s="17"/>
      <c r="E3" s="17" t="s">
        <v>46</v>
      </c>
      <c r="F3" s="17"/>
      <c r="G3" s="17"/>
      <c r="H3" s="17" t="s">
        <v>52</v>
      </c>
      <c r="I3" s="17"/>
      <c r="J3" s="17"/>
    </row>
    <row r="4" spans="1:13">
      <c r="A4" s="18"/>
      <c r="B4" s="18" t="s">
        <v>44</v>
      </c>
      <c r="C4" s="18"/>
      <c r="D4" s="18"/>
      <c r="E4" s="18" t="s">
        <v>47</v>
      </c>
      <c r="F4" s="18"/>
      <c r="G4" s="18"/>
      <c r="H4" s="18" t="s">
        <v>53</v>
      </c>
      <c r="I4" s="18"/>
      <c r="J4" s="18"/>
    </row>
    <row r="5" spans="1:13">
      <c r="A5" s="18"/>
      <c r="B5" s="18" t="s">
        <v>2</v>
      </c>
      <c r="C5" s="18"/>
      <c r="D5" s="18"/>
      <c r="E5" s="18" t="s">
        <v>48</v>
      </c>
      <c r="F5" s="18"/>
      <c r="G5" s="18"/>
      <c r="H5" s="18" t="s">
        <v>54</v>
      </c>
      <c r="I5" s="18"/>
      <c r="J5" s="18"/>
    </row>
    <row r="6" spans="1:13">
      <c r="A6" s="18"/>
      <c r="B6" s="18" t="s">
        <v>45</v>
      </c>
      <c r="C6" s="18"/>
      <c r="D6" s="18"/>
      <c r="E6" s="18" t="s">
        <v>49</v>
      </c>
      <c r="F6" s="18"/>
      <c r="G6" s="18"/>
      <c r="H6" s="18" t="s">
        <v>51</v>
      </c>
      <c r="I6" s="18"/>
      <c r="J6" s="18"/>
    </row>
    <row r="7" spans="1:13">
      <c r="A7" s="18"/>
      <c r="B7" s="18"/>
      <c r="C7" s="18"/>
      <c r="D7" s="18"/>
      <c r="E7" s="18" t="s">
        <v>50</v>
      </c>
      <c r="F7" s="18"/>
      <c r="G7" s="18"/>
      <c r="H7" s="18"/>
      <c r="I7" s="18"/>
      <c r="J7" s="18"/>
    </row>
    <row r="8" spans="1:13">
      <c r="A8" s="19"/>
      <c r="B8" s="19"/>
      <c r="C8" s="19"/>
      <c r="D8" s="19"/>
      <c r="E8" s="19" t="s">
        <v>51</v>
      </c>
      <c r="F8" s="19"/>
      <c r="G8" s="19"/>
      <c r="H8" s="19"/>
      <c r="I8" s="19"/>
      <c r="J8" s="19"/>
    </row>
  </sheetData>
  <sheetProtection password="E4E4" sheet="1" objects="1" scenarios="1"/>
  <mergeCells count="22">
    <mergeCell ref="A1:M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BB366"/>
  <sheetViews>
    <sheetView workbookViewId="0"/>
  </sheetViews>
  <sheetFormatPr defaultRowHeight="15"/>
  <cols>
    <col min="1" max="1" width="30.7109375" customWidth="1"/>
  </cols>
  <sheetData>
    <row r="1" spans="1:45">
      <c r="A1" t="s">
        <v>633</v>
      </c>
      <c r="O1" t="s">
        <v>747</v>
      </c>
      <c r="AB1" t="s">
        <v>749</v>
      </c>
      <c r="AP1" t="s">
        <v>750</v>
      </c>
    </row>
    <row r="2" spans="1:45">
      <c r="A2" t="s">
        <v>536</v>
      </c>
      <c r="B2" t="s">
        <v>634</v>
      </c>
      <c r="C2">
        <f>'AC'!A12</f>
        <v>0</v>
      </c>
      <c r="D2">
        <f>'AC'!H12</f>
        <v>0</v>
      </c>
      <c r="O2" t="s">
        <v>536</v>
      </c>
      <c r="P2" t="s">
        <v>634</v>
      </c>
      <c r="Q2">
        <f>'AC'!A18</f>
        <v>0</v>
      </c>
      <c r="R2">
        <f>'AC'!H18</f>
        <v>0</v>
      </c>
      <c r="U2" t="s">
        <v>47</v>
      </c>
      <c r="V2">
        <v>1</v>
      </c>
      <c r="AB2" t="s">
        <v>536</v>
      </c>
      <c r="AC2" t="s">
        <v>154</v>
      </c>
      <c r="AD2">
        <f>'AC'!A148</f>
        <v>0</v>
      </c>
      <c r="AE2">
        <f>'AC'!H148</f>
        <v>0</v>
      </c>
      <c r="AP2" t="s">
        <v>154</v>
      </c>
      <c r="AQ2" t="s">
        <v>751</v>
      </c>
      <c r="AR2">
        <f>'AC'!A148</f>
        <v>0</v>
      </c>
      <c r="AS2">
        <f>'AC'!H148</f>
        <v>0</v>
      </c>
    </row>
    <row r="3" spans="1:45">
      <c r="A3" t="s">
        <v>536</v>
      </c>
      <c r="B3" t="s">
        <v>634</v>
      </c>
      <c r="C3">
        <f>'AC'!A13</f>
        <v>0</v>
      </c>
      <c r="D3">
        <f>'AC'!H13</f>
        <v>0</v>
      </c>
      <c r="O3" t="s">
        <v>536</v>
      </c>
      <c r="P3" t="s">
        <v>635</v>
      </c>
      <c r="Q3">
        <f>'AC'!A23</f>
        <v>0</v>
      </c>
      <c r="R3">
        <f>'AC'!H23</f>
        <v>0</v>
      </c>
      <c r="U3" t="s">
        <v>49</v>
      </c>
      <c r="V3">
        <v>1</v>
      </c>
      <c r="AB3" t="s">
        <v>536</v>
      </c>
      <c r="AC3" t="s">
        <v>155</v>
      </c>
      <c r="AD3">
        <f>'AC'!A150</f>
        <v>0</v>
      </c>
      <c r="AE3">
        <f>'AC'!H150</f>
        <v>0</v>
      </c>
      <c r="AP3" t="s">
        <v>155</v>
      </c>
      <c r="AQ3">
        <v>998</v>
      </c>
      <c r="AR3">
        <f>'AC'!A150</f>
        <v>0</v>
      </c>
      <c r="AS3">
        <f>'AC'!H150</f>
        <v>0</v>
      </c>
    </row>
    <row r="4" spans="1:45">
      <c r="A4" t="s">
        <v>536</v>
      </c>
      <c r="B4" t="s">
        <v>634</v>
      </c>
      <c r="C4">
        <f>'AC'!A14</f>
        <v>0</v>
      </c>
      <c r="D4">
        <f>'AC'!H14</f>
        <v>0</v>
      </c>
      <c r="O4" t="s">
        <v>536</v>
      </c>
      <c r="P4" t="s">
        <v>636</v>
      </c>
      <c r="Q4">
        <f>'AC'!A32</f>
        <v>0</v>
      </c>
      <c r="R4">
        <f>'AC'!H32</f>
        <v>0</v>
      </c>
      <c r="U4" t="s">
        <v>50</v>
      </c>
      <c r="V4">
        <v>0</v>
      </c>
      <c r="AB4" t="s">
        <v>536</v>
      </c>
      <c r="AC4" t="s">
        <v>156</v>
      </c>
      <c r="AD4">
        <f>'AC'!A152</f>
        <v>0</v>
      </c>
      <c r="AE4">
        <f>'AC'!H152</f>
        <v>0</v>
      </c>
      <c r="AP4" t="s">
        <v>156</v>
      </c>
      <c r="AQ4">
        <v>997</v>
      </c>
      <c r="AR4">
        <f>'AC'!A152</f>
        <v>0</v>
      </c>
      <c r="AS4">
        <f>'AC'!H152</f>
        <v>0</v>
      </c>
    </row>
    <row r="5" spans="1:45">
      <c r="A5" t="s">
        <v>536</v>
      </c>
      <c r="B5" t="s">
        <v>634</v>
      </c>
      <c r="C5">
        <f>'AC'!A15</f>
        <v>0</v>
      </c>
      <c r="D5">
        <f>'AC'!H15</f>
        <v>0</v>
      </c>
      <c r="O5" t="s">
        <v>536</v>
      </c>
      <c r="P5" t="s">
        <v>637</v>
      </c>
      <c r="Q5">
        <f>'AC'!A40</f>
        <v>0</v>
      </c>
      <c r="R5">
        <f>'AC'!H40</f>
        <v>0</v>
      </c>
      <c r="U5" t="s">
        <v>51</v>
      </c>
      <c r="V5">
        <v>0</v>
      </c>
      <c r="AB5" t="s">
        <v>540</v>
      </c>
      <c r="AC5" t="s">
        <v>154</v>
      </c>
      <c r="AD5">
        <f>'AU'!A68</f>
        <v>0</v>
      </c>
      <c r="AE5">
        <f>'AU'!H68</f>
        <v>0</v>
      </c>
      <c r="AP5" t="s">
        <v>154</v>
      </c>
      <c r="AQ5" t="s">
        <v>751</v>
      </c>
      <c r="AR5">
        <f>'AU'!A68</f>
        <v>0</v>
      </c>
      <c r="AS5">
        <f>'AU'!H68</f>
        <v>0</v>
      </c>
    </row>
    <row r="6" spans="1:45">
      <c r="A6" t="s">
        <v>536</v>
      </c>
      <c r="B6" t="s">
        <v>634</v>
      </c>
      <c r="C6">
        <f>'AC'!A16</f>
        <v>0</v>
      </c>
      <c r="D6">
        <f>'AC'!H16</f>
        <v>0</v>
      </c>
      <c r="O6" t="s">
        <v>536</v>
      </c>
      <c r="P6" t="s">
        <v>638</v>
      </c>
      <c r="Q6">
        <f>'AC'!A46</f>
        <v>0</v>
      </c>
      <c r="R6">
        <f>'AC'!H46</f>
        <v>0</v>
      </c>
      <c r="U6" t="s">
        <v>48</v>
      </c>
      <c r="V6">
        <v>0.5</v>
      </c>
      <c r="AB6" t="s">
        <v>540</v>
      </c>
      <c r="AC6" t="s">
        <v>155</v>
      </c>
      <c r="AD6">
        <f>'AU'!A70</f>
        <v>0</v>
      </c>
      <c r="AE6">
        <f>'AU'!H70</f>
        <v>0</v>
      </c>
      <c r="AP6" t="s">
        <v>155</v>
      </c>
      <c r="AQ6">
        <v>998</v>
      </c>
      <c r="AR6">
        <f>'AU'!A70</f>
        <v>0</v>
      </c>
      <c r="AS6">
        <f>'AU'!H70</f>
        <v>0</v>
      </c>
    </row>
    <row r="7" spans="1:45">
      <c r="A7" t="s">
        <v>536</v>
      </c>
      <c r="B7" t="s">
        <v>634</v>
      </c>
      <c r="C7">
        <f>'AC'!A17</f>
        <v>0</v>
      </c>
      <c r="D7">
        <f>'AC'!H17</f>
        <v>0</v>
      </c>
      <c r="O7" t="s">
        <v>536</v>
      </c>
      <c r="P7" t="s">
        <v>639</v>
      </c>
      <c r="Q7">
        <f>'AC'!A51</f>
        <v>0</v>
      </c>
      <c r="R7">
        <f>'AC'!H51</f>
        <v>0</v>
      </c>
      <c r="U7" t="s">
        <v>46</v>
      </c>
      <c r="V7">
        <v>1</v>
      </c>
      <c r="AB7" t="s">
        <v>540</v>
      </c>
      <c r="AC7" t="s">
        <v>156</v>
      </c>
      <c r="AD7">
        <f>'AU'!A72</f>
        <v>0</v>
      </c>
      <c r="AE7">
        <f>'AU'!H72</f>
        <v>0</v>
      </c>
      <c r="AP7" t="s">
        <v>156</v>
      </c>
      <c r="AQ7">
        <v>997</v>
      </c>
      <c r="AR7">
        <f>'AU'!A72</f>
        <v>0</v>
      </c>
      <c r="AS7">
        <f>'AU'!H72</f>
        <v>0</v>
      </c>
    </row>
    <row r="8" spans="1:45">
      <c r="A8" t="s">
        <v>536</v>
      </c>
      <c r="B8" t="s">
        <v>635</v>
      </c>
      <c r="C8">
        <f>'AC'!A21</f>
        <v>0</v>
      </c>
      <c r="D8">
        <f>'AC'!H21</f>
        <v>0</v>
      </c>
      <c r="O8" t="s">
        <v>536</v>
      </c>
      <c r="P8" t="s">
        <v>640</v>
      </c>
      <c r="Q8">
        <f>'AC'!A58</f>
        <v>0</v>
      </c>
      <c r="R8">
        <f>'AC'!H58</f>
        <v>0</v>
      </c>
      <c r="AB8" t="s">
        <v>542</v>
      </c>
      <c r="AC8" t="s">
        <v>154</v>
      </c>
      <c r="AD8">
        <f>'AT'!A30</f>
        <v>0</v>
      </c>
      <c r="AE8">
        <f>'AT'!H30</f>
        <v>0</v>
      </c>
      <c r="AP8" t="s">
        <v>154</v>
      </c>
      <c r="AQ8" t="s">
        <v>751</v>
      </c>
      <c r="AR8">
        <f>'AT'!A30</f>
        <v>0</v>
      </c>
      <c r="AS8">
        <f>'AT'!H30</f>
        <v>0</v>
      </c>
    </row>
    <row r="9" spans="1:45">
      <c r="A9" t="s">
        <v>536</v>
      </c>
      <c r="B9" t="s">
        <v>635</v>
      </c>
      <c r="C9">
        <f>'AC'!A22</f>
        <v>0</v>
      </c>
      <c r="D9">
        <f>'AC'!H22</f>
        <v>0</v>
      </c>
      <c r="O9" t="s">
        <v>536</v>
      </c>
      <c r="P9" t="s">
        <v>641</v>
      </c>
      <c r="Q9">
        <f>'AC'!A63</f>
        <v>0</v>
      </c>
      <c r="R9">
        <f>'AC'!H63</f>
        <v>0</v>
      </c>
      <c r="AB9" t="s">
        <v>542</v>
      </c>
      <c r="AC9" t="s">
        <v>155</v>
      </c>
      <c r="AD9">
        <f>'AT'!A32</f>
        <v>0</v>
      </c>
      <c r="AE9">
        <f>'AT'!H32</f>
        <v>0</v>
      </c>
      <c r="AP9" t="s">
        <v>155</v>
      </c>
      <c r="AQ9">
        <v>998</v>
      </c>
      <c r="AR9">
        <f>'AT'!A32</f>
        <v>0</v>
      </c>
      <c r="AS9">
        <f>'AT'!H32</f>
        <v>0</v>
      </c>
    </row>
    <row r="10" spans="1:45">
      <c r="A10" t="s">
        <v>536</v>
      </c>
      <c r="B10" t="s">
        <v>636</v>
      </c>
      <c r="C10">
        <f>'AC'!A26</f>
        <v>0</v>
      </c>
      <c r="D10">
        <f>'AC'!H26</f>
        <v>0</v>
      </c>
      <c r="O10" t="s">
        <v>536</v>
      </c>
      <c r="P10" t="s">
        <v>642</v>
      </c>
      <c r="Q10">
        <f>'AC'!A68</f>
        <v>0</v>
      </c>
      <c r="R10">
        <f>'AC'!H68</f>
        <v>0</v>
      </c>
      <c r="AB10" t="s">
        <v>542</v>
      </c>
      <c r="AC10" t="s">
        <v>156</v>
      </c>
      <c r="AD10">
        <f>'AT'!A34</f>
        <v>0</v>
      </c>
      <c r="AE10">
        <f>'AT'!H34</f>
        <v>0</v>
      </c>
      <c r="AP10" t="s">
        <v>156</v>
      </c>
      <c r="AQ10">
        <v>997</v>
      </c>
      <c r="AR10">
        <f>'AT'!A34</f>
        <v>0</v>
      </c>
      <c r="AS10">
        <f>'AT'!H34</f>
        <v>0</v>
      </c>
    </row>
    <row r="11" spans="1:45">
      <c r="A11" t="s">
        <v>536</v>
      </c>
      <c r="B11" t="s">
        <v>636</v>
      </c>
      <c r="C11">
        <f>'AC'!A27</f>
        <v>0</v>
      </c>
      <c r="D11">
        <f>'AC'!H27</f>
        <v>0</v>
      </c>
      <c r="O11" t="s">
        <v>536</v>
      </c>
      <c r="P11" t="s">
        <v>643</v>
      </c>
      <c r="Q11">
        <f>'AC'!A75</f>
        <v>0</v>
      </c>
      <c r="R11">
        <f>'AC'!H75</f>
        <v>0</v>
      </c>
      <c r="AB11" t="s">
        <v>545</v>
      </c>
      <c r="AC11" t="s">
        <v>154</v>
      </c>
      <c r="AD11">
        <f>'CM'!A83</f>
        <v>0</v>
      </c>
      <c r="AE11">
        <f>'CM'!H83</f>
        <v>0</v>
      </c>
      <c r="AP11" t="s">
        <v>154</v>
      </c>
      <c r="AQ11" t="s">
        <v>751</v>
      </c>
      <c r="AR11">
        <f>'CM'!A83</f>
        <v>0</v>
      </c>
      <c r="AS11">
        <f>'CM'!H83</f>
        <v>0</v>
      </c>
    </row>
    <row r="12" spans="1:45">
      <c r="A12" t="s">
        <v>536</v>
      </c>
      <c r="B12" t="s">
        <v>636</v>
      </c>
      <c r="C12">
        <f>'AC'!A28</f>
        <v>0</v>
      </c>
      <c r="D12">
        <f>'AC'!H28</f>
        <v>0</v>
      </c>
      <c r="O12" t="s">
        <v>536</v>
      </c>
      <c r="P12" t="s">
        <v>644</v>
      </c>
      <c r="Q12">
        <f>'AC'!A80</f>
        <v>0</v>
      </c>
      <c r="R12">
        <f>'AC'!H80</f>
        <v>0</v>
      </c>
      <c r="AB12" t="s">
        <v>545</v>
      </c>
      <c r="AC12" t="s">
        <v>155</v>
      </c>
      <c r="AD12">
        <f>'CM'!A85</f>
        <v>0</v>
      </c>
      <c r="AE12">
        <f>'CM'!H85</f>
        <v>0</v>
      </c>
      <c r="AP12" t="s">
        <v>155</v>
      </c>
      <c r="AQ12">
        <v>998</v>
      </c>
      <c r="AR12">
        <f>'CM'!A85</f>
        <v>0</v>
      </c>
      <c r="AS12">
        <f>'CM'!H85</f>
        <v>0</v>
      </c>
    </row>
    <row r="13" spans="1:45">
      <c r="A13" t="s">
        <v>536</v>
      </c>
      <c r="B13" t="s">
        <v>636</v>
      </c>
      <c r="C13">
        <f>'AC'!A29</f>
        <v>0</v>
      </c>
      <c r="D13">
        <f>'AC'!H29</f>
        <v>0</v>
      </c>
      <c r="O13" t="s">
        <v>536</v>
      </c>
      <c r="P13" t="s">
        <v>645</v>
      </c>
      <c r="Q13">
        <f>'AC'!A85</f>
        <v>0</v>
      </c>
      <c r="R13">
        <f>'AC'!H85</f>
        <v>0</v>
      </c>
      <c r="AB13" t="s">
        <v>545</v>
      </c>
      <c r="AC13" t="s">
        <v>156</v>
      </c>
      <c r="AD13">
        <f>'CM'!A87</f>
        <v>0</v>
      </c>
      <c r="AE13">
        <f>'CM'!H87</f>
        <v>0</v>
      </c>
      <c r="AP13" t="s">
        <v>156</v>
      </c>
      <c r="AQ13">
        <v>997</v>
      </c>
      <c r="AR13">
        <f>'CM'!A87</f>
        <v>0</v>
      </c>
      <c r="AS13">
        <f>'CM'!H87</f>
        <v>0</v>
      </c>
    </row>
    <row r="14" spans="1:45">
      <c r="A14" t="s">
        <v>536</v>
      </c>
      <c r="B14" t="s">
        <v>636</v>
      </c>
      <c r="C14">
        <f>'AC'!A30</f>
        <v>0</v>
      </c>
      <c r="D14">
        <f>'AC'!H30</f>
        <v>0</v>
      </c>
      <c r="O14" t="s">
        <v>536</v>
      </c>
      <c r="P14" t="s">
        <v>646</v>
      </c>
      <c r="Q14">
        <f>'AC'!A91</f>
        <v>0</v>
      </c>
      <c r="R14">
        <f>'AC'!H91</f>
        <v>0</v>
      </c>
      <c r="AB14" t="s">
        <v>554</v>
      </c>
      <c r="AC14" t="s">
        <v>154</v>
      </c>
      <c r="AD14">
        <f>'IA'!A70</f>
        <v>0</v>
      </c>
      <c r="AE14">
        <f>'IA'!H70</f>
        <v>0</v>
      </c>
      <c r="AP14" t="s">
        <v>154</v>
      </c>
      <c r="AQ14" t="s">
        <v>751</v>
      </c>
      <c r="AR14">
        <f>'IA'!A70</f>
        <v>0</v>
      </c>
      <c r="AS14">
        <f>'IA'!H70</f>
        <v>0</v>
      </c>
    </row>
    <row r="15" spans="1:45">
      <c r="A15" t="s">
        <v>536</v>
      </c>
      <c r="B15" t="s">
        <v>636</v>
      </c>
      <c r="C15">
        <f>'AC'!A31</f>
        <v>0</v>
      </c>
      <c r="D15">
        <f>'AC'!H31</f>
        <v>0</v>
      </c>
      <c r="O15" t="s">
        <v>536</v>
      </c>
      <c r="P15" t="s">
        <v>647</v>
      </c>
      <c r="Q15">
        <f>'AC'!A96</f>
        <v>0</v>
      </c>
      <c r="R15">
        <f>'AC'!H96</f>
        <v>0</v>
      </c>
      <c r="AB15" t="s">
        <v>554</v>
      </c>
      <c r="AC15" t="s">
        <v>155</v>
      </c>
      <c r="AD15">
        <f>'IA'!A72</f>
        <v>0</v>
      </c>
      <c r="AE15">
        <f>'IA'!H72</f>
        <v>0</v>
      </c>
      <c r="AP15" t="s">
        <v>155</v>
      </c>
      <c r="AQ15">
        <v>998</v>
      </c>
      <c r="AR15">
        <f>'IA'!A72</f>
        <v>0</v>
      </c>
      <c r="AS15">
        <f>'IA'!H72</f>
        <v>0</v>
      </c>
    </row>
    <row r="16" spans="1:45">
      <c r="A16" t="s">
        <v>536</v>
      </c>
      <c r="B16" t="s">
        <v>637</v>
      </c>
      <c r="C16">
        <f>'AC'!A35</f>
        <v>0</v>
      </c>
      <c r="D16">
        <f>'AC'!H35</f>
        <v>0</v>
      </c>
      <c r="O16" t="s">
        <v>536</v>
      </c>
      <c r="P16" t="s">
        <v>648</v>
      </c>
      <c r="Q16">
        <f>'AC'!A102</f>
        <v>0</v>
      </c>
      <c r="R16">
        <f>'AC'!H102</f>
        <v>0</v>
      </c>
      <c r="AB16" t="s">
        <v>554</v>
      </c>
      <c r="AC16" t="s">
        <v>156</v>
      </c>
      <c r="AD16">
        <f>'IA'!A74</f>
        <v>0</v>
      </c>
      <c r="AE16">
        <f>'IA'!H74</f>
        <v>0</v>
      </c>
      <c r="AP16" t="s">
        <v>156</v>
      </c>
      <c r="AQ16">
        <v>997</v>
      </c>
      <c r="AR16">
        <f>'IA'!A74</f>
        <v>0</v>
      </c>
      <c r="AS16">
        <f>'IA'!H74</f>
        <v>0</v>
      </c>
    </row>
    <row r="17" spans="1:45">
      <c r="A17" t="s">
        <v>536</v>
      </c>
      <c r="B17" t="s">
        <v>637</v>
      </c>
      <c r="C17">
        <f>'AC'!A36</f>
        <v>0</v>
      </c>
      <c r="D17">
        <f>'AC'!H36</f>
        <v>0</v>
      </c>
      <c r="O17" t="s">
        <v>536</v>
      </c>
      <c r="P17" t="s">
        <v>649</v>
      </c>
      <c r="Q17">
        <f>'AC'!A110</f>
        <v>0</v>
      </c>
      <c r="R17">
        <f>'AC'!H110</f>
        <v>0</v>
      </c>
      <c r="AB17" t="s">
        <v>556</v>
      </c>
      <c r="AC17" t="s">
        <v>154</v>
      </c>
      <c r="AD17">
        <f>'IR'!A35</f>
        <v>0</v>
      </c>
      <c r="AE17">
        <f>'IR'!H35</f>
        <v>0</v>
      </c>
      <c r="AP17" t="s">
        <v>154</v>
      </c>
      <c r="AQ17" t="s">
        <v>751</v>
      </c>
      <c r="AR17">
        <f>'IR'!A35</f>
        <v>0</v>
      </c>
      <c r="AS17">
        <f>'IR'!H35</f>
        <v>0</v>
      </c>
    </row>
    <row r="18" spans="1:45">
      <c r="A18" t="s">
        <v>536</v>
      </c>
      <c r="B18" t="s">
        <v>637</v>
      </c>
      <c r="C18">
        <f>'AC'!A37</f>
        <v>0</v>
      </c>
      <c r="D18">
        <f>'AC'!H37</f>
        <v>0</v>
      </c>
      <c r="O18" t="s">
        <v>536</v>
      </c>
      <c r="P18" t="s">
        <v>650</v>
      </c>
      <c r="Q18">
        <f>'AC'!A116</f>
        <v>0</v>
      </c>
      <c r="R18">
        <f>'AC'!H116</f>
        <v>0</v>
      </c>
      <c r="AB18" t="s">
        <v>556</v>
      </c>
      <c r="AC18" t="s">
        <v>155</v>
      </c>
      <c r="AD18">
        <f>'IR'!A37</f>
        <v>0</v>
      </c>
      <c r="AE18">
        <f>'IR'!H37</f>
        <v>0</v>
      </c>
      <c r="AP18" t="s">
        <v>155</v>
      </c>
      <c r="AQ18">
        <v>998</v>
      </c>
      <c r="AR18">
        <f>'IR'!A37</f>
        <v>0</v>
      </c>
      <c r="AS18">
        <f>'IR'!H37</f>
        <v>0</v>
      </c>
    </row>
    <row r="19" spans="1:45">
      <c r="A19" t="s">
        <v>536</v>
      </c>
      <c r="B19" t="s">
        <v>637</v>
      </c>
      <c r="C19">
        <f>'AC'!A38</f>
        <v>0</v>
      </c>
      <c r="D19">
        <f>'AC'!H38</f>
        <v>0</v>
      </c>
      <c r="O19" t="s">
        <v>536</v>
      </c>
      <c r="P19" t="s">
        <v>651</v>
      </c>
      <c r="Q19">
        <f>'AC'!A123</f>
        <v>0</v>
      </c>
      <c r="R19">
        <f>'AC'!H123</f>
        <v>0</v>
      </c>
      <c r="AB19" t="s">
        <v>556</v>
      </c>
      <c r="AC19" t="s">
        <v>156</v>
      </c>
      <c r="AD19">
        <f>'IR'!A39</f>
        <v>0</v>
      </c>
      <c r="AE19">
        <f>'IR'!H39</f>
        <v>0</v>
      </c>
      <c r="AP19" t="s">
        <v>156</v>
      </c>
      <c r="AQ19">
        <v>997</v>
      </c>
      <c r="AR19">
        <f>'IR'!A39</f>
        <v>0</v>
      </c>
      <c r="AS19">
        <f>'IR'!H39</f>
        <v>0</v>
      </c>
    </row>
    <row r="20" spans="1:45">
      <c r="A20" t="s">
        <v>536</v>
      </c>
      <c r="B20" t="s">
        <v>637</v>
      </c>
      <c r="C20">
        <f>'AC'!A39</f>
        <v>0</v>
      </c>
      <c r="D20">
        <f>'AC'!H39</f>
        <v>0</v>
      </c>
      <c r="O20" t="s">
        <v>536</v>
      </c>
      <c r="P20" t="s">
        <v>652</v>
      </c>
      <c r="Q20">
        <f>'AC'!A128</f>
        <v>0</v>
      </c>
      <c r="R20">
        <f>'AC'!H128</f>
        <v>0</v>
      </c>
      <c r="AB20" t="s">
        <v>561</v>
      </c>
      <c r="AC20" t="s">
        <v>154</v>
      </c>
      <c r="AD20">
        <f>'MA'!A40</f>
        <v>0</v>
      </c>
      <c r="AE20">
        <f>'MA'!H40</f>
        <v>0</v>
      </c>
      <c r="AP20" t="s">
        <v>154</v>
      </c>
      <c r="AQ20" t="s">
        <v>751</v>
      </c>
      <c r="AR20">
        <f>'MA'!A40</f>
        <v>0</v>
      </c>
      <c r="AS20">
        <f>'MA'!H40</f>
        <v>0</v>
      </c>
    </row>
    <row r="21" spans="1:45">
      <c r="A21" t="s">
        <v>536</v>
      </c>
      <c r="B21" t="s">
        <v>638</v>
      </c>
      <c r="C21">
        <f>'AC'!A43</f>
        <v>0</v>
      </c>
      <c r="D21">
        <f>'AC'!H43</f>
        <v>0</v>
      </c>
      <c r="O21" t="s">
        <v>536</v>
      </c>
      <c r="P21" t="s">
        <v>653</v>
      </c>
      <c r="Q21">
        <f>'AC'!A135</f>
        <v>0</v>
      </c>
      <c r="R21">
        <f>'AC'!H135</f>
        <v>0</v>
      </c>
      <c r="AB21" t="s">
        <v>561</v>
      </c>
      <c r="AC21" t="s">
        <v>155</v>
      </c>
      <c r="AD21">
        <f>'MA'!A42</f>
        <v>0</v>
      </c>
      <c r="AE21">
        <f>'MA'!H42</f>
        <v>0</v>
      </c>
      <c r="AP21" t="s">
        <v>155</v>
      </c>
      <c r="AQ21">
        <v>998</v>
      </c>
      <c r="AR21">
        <f>'MA'!A42</f>
        <v>0</v>
      </c>
      <c r="AS21">
        <f>'MA'!H42</f>
        <v>0</v>
      </c>
    </row>
    <row r="22" spans="1:45">
      <c r="A22" t="s">
        <v>536</v>
      </c>
      <c r="B22" t="s">
        <v>638</v>
      </c>
      <c r="C22">
        <f>'AC'!A44</f>
        <v>0</v>
      </c>
      <c r="D22">
        <f>'AC'!H44</f>
        <v>0</v>
      </c>
      <c r="O22" t="s">
        <v>536</v>
      </c>
      <c r="P22" t="s">
        <v>654</v>
      </c>
      <c r="Q22">
        <f>'AC'!A140</f>
        <v>0</v>
      </c>
      <c r="R22">
        <f>'AC'!H140</f>
        <v>0</v>
      </c>
      <c r="AB22" t="s">
        <v>561</v>
      </c>
      <c r="AC22" t="s">
        <v>156</v>
      </c>
      <c r="AD22">
        <f>'MA'!A44</f>
        <v>0</v>
      </c>
      <c r="AE22">
        <f>'MA'!H44</f>
        <v>0</v>
      </c>
      <c r="AP22" t="s">
        <v>156</v>
      </c>
      <c r="AQ22">
        <v>997</v>
      </c>
      <c r="AR22">
        <f>'MA'!A44</f>
        <v>0</v>
      </c>
      <c r="AS22">
        <f>'MA'!H44</f>
        <v>0</v>
      </c>
    </row>
    <row r="23" spans="1:45">
      <c r="A23" t="s">
        <v>536</v>
      </c>
      <c r="B23" t="s">
        <v>638</v>
      </c>
      <c r="C23">
        <f>'AC'!A45</f>
        <v>0</v>
      </c>
      <c r="D23">
        <f>'AC'!H45</f>
        <v>0</v>
      </c>
      <c r="O23" t="s">
        <v>536</v>
      </c>
      <c r="P23" t="s">
        <v>655</v>
      </c>
      <c r="Q23">
        <f>'AC'!A145</f>
        <v>0</v>
      </c>
      <c r="R23">
        <f>'AC'!H145</f>
        <v>0</v>
      </c>
      <c r="AB23" t="s">
        <v>563</v>
      </c>
      <c r="AC23" t="s">
        <v>154</v>
      </c>
      <c r="AD23">
        <f>'MP'!A54</f>
        <v>0</v>
      </c>
      <c r="AE23">
        <f>'MP'!H54</f>
        <v>0</v>
      </c>
      <c r="AP23" t="s">
        <v>154</v>
      </c>
      <c r="AQ23" t="s">
        <v>751</v>
      </c>
      <c r="AR23">
        <f>'MP'!A54</f>
        <v>0</v>
      </c>
      <c r="AS23">
        <f>'MP'!H54</f>
        <v>0</v>
      </c>
    </row>
    <row r="24" spans="1:45">
      <c r="A24" t="s">
        <v>536</v>
      </c>
      <c r="B24" t="s">
        <v>639</v>
      </c>
      <c r="C24">
        <f>'AC'!A49</f>
        <v>0</v>
      </c>
      <c r="D24">
        <f>'AC'!H49</f>
        <v>0</v>
      </c>
      <c r="O24" t="s">
        <v>540</v>
      </c>
      <c r="P24" t="s">
        <v>656</v>
      </c>
      <c r="Q24">
        <f>'AU'!A18</f>
        <v>0</v>
      </c>
      <c r="R24">
        <f>'AU'!H18</f>
        <v>0</v>
      </c>
      <c r="AB24" t="s">
        <v>563</v>
      </c>
      <c r="AC24" t="s">
        <v>155</v>
      </c>
      <c r="AD24">
        <f>'MP'!A56</f>
        <v>0</v>
      </c>
      <c r="AE24">
        <f>'MP'!H56</f>
        <v>0</v>
      </c>
      <c r="AP24" t="s">
        <v>155</v>
      </c>
      <c r="AQ24">
        <v>998</v>
      </c>
      <c r="AR24">
        <f>'MP'!A56</f>
        <v>0</v>
      </c>
      <c r="AS24">
        <f>'MP'!H56</f>
        <v>0</v>
      </c>
    </row>
    <row r="25" spans="1:45">
      <c r="A25" t="s">
        <v>536</v>
      </c>
      <c r="B25" t="s">
        <v>639</v>
      </c>
      <c r="C25">
        <f>'AC'!A50</f>
        <v>0</v>
      </c>
      <c r="D25">
        <f>'AC'!H50</f>
        <v>0</v>
      </c>
      <c r="O25" t="s">
        <v>540</v>
      </c>
      <c r="P25" t="s">
        <v>657</v>
      </c>
      <c r="Q25">
        <f>'AU'!A23</f>
        <v>0</v>
      </c>
      <c r="R25">
        <f>'AU'!H23</f>
        <v>0</v>
      </c>
      <c r="AB25" t="s">
        <v>563</v>
      </c>
      <c r="AC25" t="s">
        <v>156</v>
      </c>
      <c r="AD25">
        <f>'MP'!A58</f>
        <v>0</v>
      </c>
      <c r="AE25">
        <f>'MP'!H58</f>
        <v>0</v>
      </c>
      <c r="AP25" t="s">
        <v>156</v>
      </c>
      <c r="AQ25">
        <v>997</v>
      </c>
      <c r="AR25">
        <f>'MP'!A58</f>
        <v>0</v>
      </c>
      <c r="AS25">
        <f>'MP'!H58</f>
        <v>0</v>
      </c>
    </row>
    <row r="26" spans="1:45">
      <c r="A26" t="s">
        <v>536</v>
      </c>
      <c r="B26" t="s">
        <v>640</v>
      </c>
      <c r="C26">
        <f>'AC'!A54</f>
        <v>0</v>
      </c>
      <c r="D26">
        <f>'AC'!H54</f>
        <v>0</v>
      </c>
      <c r="O26" t="s">
        <v>540</v>
      </c>
      <c r="P26" t="s">
        <v>658</v>
      </c>
      <c r="Q26">
        <f>'AU'!A29</f>
        <v>0</v>
      </c>
      <c r="R26">
        <f>'AU'!H29</f>
        <v>0</v>
      </c>
      <c r="AB26" t="s">
        <v>574</v>
      </c>
      <c r="AC26" t="s">
        <v>154</v>
      </c>
      <c r="AD26">
        <f>'PS'!A22</f>
        <v>0</v>
      </c>
      <c r="AE26">
        <f>'PS'!H22</f>
        <v>0</v>
      </c>
      <c r="AP26" t="s">
        <v>154</v>
      </c>
      <c r="AQ26" t="s">
        <v>751</v>
      </c>
      <c r="AR26">
        <f>'PS'!A22</f>
        <v>0</v>
      </c>
      <c r="AS26">
        <f>'PS'!H22</f>
        <v>0</v>
      </c>
    </row>
    <row r="27" spans="1:45">
      <c r="A27" t="s">
        <v>536</v>
      </c>
      <c r="B27" t="s">
        <v>640</v>
      </c>
      <c r="C27">
        <f>'AC'!A55</f>
        <v>0</v>
      </c>
      <c r="D27">
        <f>'AC'!H55</f>
        <v>0</v>
      </c>
      <c r="O27" t="s">
        <v>540</v>
      </c>
      <c r="P27" t="s">
        <v>659</v>
      </c>
      <c r="Q27">
        <f>'AU'!A35</f>
        <v>0</v>
      </c>
      <c r="R27">
        <f>'AU'!H35</f>
        <v>0</v>
      </c>
      <c r="AB27" t="s">
        <v>574</v>
      </c>
      <c r="AC27" t="s">
        <v>155</v>
      </c>
      <c r="AD27">
        <f>'PS'!A24</f>
        <v>0</v>
      </c>
      <c r="AE27">
        <f>'PS'!H24</f>
        <v>0</v>
      </c>
      <c r="AP27" t="s">
        <v>155</v>
      </c>
      <c r="AQ27">
        <v>998</v>
      </c>
      <c r="AR27">
        <f>'PS'!A24</f>
        <v>0</v>
      </c>
      <c r="AS27">
        <f>'PS'!H24</f>
        <v>0</v>
      </c>
    </row>
    <row r="28" spans="1:45">
      <c r="A28" t="s">
        <v>536</v>
      </c>
      <c r="B28" t="s">
        <v>640</v>
      </c>
      <c r="C28">
        <f>'AC'!A56</f>
        <v>0</v>
      </c>
      <c r="D28">
        <f>'AC'!H56</f>
        <v>0</v>
      </c>
      <c r="O28" t="s">
        <v>540</v>
      </c>
      <c r="P28" t="s">
        <v>660</v>
      </c>
      <c r="Q28">
        <f>'AU'!A40</f>
        <v>0</v>
      </c>
      <c r="R28">
        <f>'AU'!H40</f>
        <v>0</v>
      </c>
      <c r="AB28" t="s">
        <v>574</v>
      </c>
      <c r="AC28" t="s">
        <v>156</v>
      </c>
      <c r="AD28">
        <f>'PS'!A26</f>
        <v>0</v>
      </c>
      <c r="AE28">
        <f>'PS'!H26</f>
        <v>0</v>
      </c>
      <c r="AP28" t="s">
        <v>156</v>
      </c>
      <c r="AQ28">
        <v>997</v>
      </c>
      <c r="AR28">
        <f>'PS'!A26</f>
        <v>0</v>
      </c>
      <c r="AS28">
        <f>'PS'!H26</f>
        <v>0</v>
      </c>
    </row>
    <row r="29" spans="1:45">
      <c r="A29" t="s">
        <v>536</v>
      </c>
      <c r="B29" t="s">
        <v>640</v>
      </c>
      <c r="C29">
        <f>'AC'!A57</f>
        <v>0</v>
      </c>
      <c r="D29">
        <f>'AC'!H57</f>
        <v>0</v>
      </c>
      <c r="O29" t="s">
        <v>540</v>
      </c>
      <c r="P29" t="s">
        <v>661</v>
      </c>
      <c r="Q29">
        <f>'AU'!A45</f>
        <v>0</v>
      </c>
      <c r="R29">
        <f>'AU'!H45</f>
        <v>0</v>
      </c>
      <c r="AB29" t="s">
        <v>576</v>
      </c>
      <c r="AC29" t="s">
        <v>154</v>
      </c>
      <c r="AD29">
        <f>'PE'!A46</f>
        <v>0</v>
      </c>
      <c r="AE29">
        <f>'PE'!H46</f>
        <v>0</v>
      </c>
      <c r="AP29" t="s">
        <v>154</v>
      </c>
      <c r="AQ29" t="s">
        <v>751</v>
      </c>
      <c r="AR29">
        <f>'PE'!A46</f>
        <v>0</v>
      </c>
      <c r="AS29">
        <f>'PE'!H46</f>
        <v>0</v>
      </c>
    </row>
    <row r="30" spans="1:45">
      <c r="A30" t="s">
        <v>536</v>
      </c>
      <c r="B30" t="s">
        <v>641</v>
      </c>
      <c r="C30">
        <f>'AC'!A61</f>
        <v>0</v>
      </c>
      <c r="D30">
        <f>'AC'!H61</f>
        <v>0</v>
      </c>
      <c r="O30" t="s">
        <v>540</v>
      </c>
      <c r="P30" t="s">
        <v>662</v>
      </c>
      <c r="Q30">
        <f>'AU'!A51</f>
        <v>0</v>
      </c>
      <c r="R30">
        <f>'AU'!H51</f>
        <v>0</v>
      </c>
      <c r="AB30" t="s">
        <v>576</v>
      </c>
      <c r="AC30" t="s">
        <v>155</v>
      </c>
      <c r="AD30">
        <f>'PE'!A48</f>
        <v>0</v>
      </c>
      <c r="AE30">
        <f>'PE'!H48</f>
        <v>0</v>
      </c>
      <c r="AP30" t="s">
        <v>155</v>
      </c>
      <c r="AQ30">
        <v>998</v>
      </c>
      <c r="AR30">
        <f>'PE'!A48</f>
        <v>0</v>
      </c>
      <c r="AS30">
        <f>'PE'!H48</f>
        <v>0</v>
      </c>
    </row>
    <row r="31" spans="1:45">
      <c r="A31" t="s">
        <v>536</v>
      </c>
      <c r="B31" t="s">
        <v>641</v>
      </c>
      <c r="C31">
        <f>'AC'!A62</f>
        <v>0</v>
      </c>
      <c r="D31">
        <f>'AC'!H62</f>
        <v>0</v>
      </c>
      <c r="O31" t="s">
        <v>540</v>
      </c>
      <c r="P31" t="s">
        <v>663</v>
      </c>
      <c r="Q31">
        <f>'AU'!A60</f>
        <v>0</v>
      </c>
      <c r="R31">
        <f>'AU'!H60</f>
        <v>0</v>
      </c>
      <c r="AB31" t="s">
        <v>576</v>
      </c>
      <c r="AC31" t="s">
        <v>156</v>
      </c>
      <c r="AD31">
        <f>'PE'!A50</f>
        <v>0</v>
      </c>
      <c r="AE31">
        <f>'PE'!H50</f>
        <v>0</v>
      </c>
      <c r="AP31" t="s">
        <v>156</v>
      </c>
      <c r="AQ31">
        <v>997</v>
      </c>
      <c r="AR31">
        <f>'PE'!A50</f>
        <v>0</v>
      </c>
      <c r="AS31">
        <f>'PE'!H50</f>
        <v>0</v>
      </c>
    </row>
    <row r="32" spans="1:45">
      <c r="A32" t="s">
        <v>536</v>
      </c>
      <c r="B32" t="s">
        <v>642</v>
      </c>
      <c r="C32">
        <f>'AC'!A66</f>
        <v>0</v>
      </c>
      <c r="D32">
        <f>'AC'!H66</f>
        <v>0</v>
      </c>
      <c r="O32" t="s">
        <v>540</v>
      </c>
      <c r="P32" t="s">
        <v>664</v>
      </c>
      <c r="Q32">
        <f>'AU'!A65</f>
        <v>0</v>
      </c>
      <c r="R32">
        <f>'AU'!H65</f>
        <v>0</v>
      </c>
      <c r="AB32" t="s">
        <v>610</v>
      </c>
      <c r="AC32" t="s">
        <v>154</v>
      </c>
      <c r="AD32">
        <f>'RA'!A30</f>
        <v>0</v>
      </c>
      <c r="AE32">
        <f>'RA'!H30</f>
        <v>0</v>
      </c>
      <c r="AP32" t="s">
        <v>154</v>
      </c>
      <c r="AQ32" t="s">
        <v>751</v>
      </c>
      <c r="AR32">
        <f>'RA'!A30</f>
        <v>0</v>
      </c>
      <c r="AS32">
        <f>'RA'!H30</f>
        <v>0</v>
      </c>
    </row>
    <row r="33" spans="1:53">
      <c r="A33" t="s">
        <v>536</v>
      </c>
      <c r="B33" t="s">
        <v>642</v>
      </c>
      <c r="C33">
        <f>'AC'!A67</f>
        <v>0</v>
      </c>
      <c r="D33">
        <f>'AC'!H67</f>
        <v>0</v>
      </c>
      <c r="O33" t="s">
        <v>542</v>
      </c>
      <c r="P33" t="s">
        <v>665</v>
      </c>
      <c r="Q33">
        <f>'AT'!A16</f>
        <v>0</v>
      </c>
      <c r="R33">
        <f>'AT'!H16</f>
        <v>0</v>
      </c>
      <c r="AB33" t="s">
        <v>610</v>
      </c>
      <c r="AC33" t="s">
        <v>155</v>
      </c>
      <c r="AD33">
        <f>'RA'!A32</f>
        <v>0</v>
      </c>
      <c r="AE33">
        <f>'RA'!H32</f>
        <v>0</v>
      </c>
      <c r="AP33" t="s">
        <v>155</v>
      </c>
      <c r="AQ33">
        <v>998</v>
      </c>
      <c r="AR33">
        <f>'RA'!A32</f>
        <v>0</v>
      </c>
      <c r="AS33">
        <f>'RA'!H32</f>
        <v>0</v>
      </c>
    </row>
    <row r="34" spans="1:53">
      <c r="A34" t="s">
        <v>536</v>
      </c>
      <c r="B34" t="s">
        <v>643</v>
      </c>
      <c r="C34">
        <f>'AC'!A71</f>
        <v>0</v>
      </c>
      <c r="D34">
        <f>'AC'!H71</f>
        <v>0</v>
      </c>
      <c r="O34" t="s">
        <v>542</v>
      </c>
      <c r="P34" t="s">
        <v>666</v>
      </c>
      <c r="Q34">
        <f>'AT'!A22</f>
        <v>0</v>
      </c>
      <c r="R34">
        <f>'AT'!H22</f>
        <v>0</v>
      </c>
      <c r="AB34" t="s">
        <v>610</v>
      </c>
      <c r="AC34" t="s">
        <v>156</v>
      </c>
      <c r="AD34">
        <f>'RA'!A34</f>
        <v>0</v>
      </c>
      <c r="AE34">
        <f>'RA'!H34</f>
        <v>0</v>
      </c>
      <c r="AP34" t="s">
        <v>156</v>
      </c>
      <c r="AQ34">
        <v>997</v>
      </c>
      <c r="AR34">
        <f>'RA'!A34</f>
        <v>0</v>
      </c>
      <c r="AS34">
        <f>'RA'!H34</f>
        <v>0</v>
      </c>
    </row>
    <row r="35" spans="1:53">
      <c r="A35" t="s">
        <v>536</v>
      </c>
      <c r="B35" t="s">
        <v>643</v>
      </c>
      <c r="C35">
        <f>'AC'!A72</f>
        <v>0</v>
      </c>
      <c r="D35">
        <f>'AC'!H72</f>
        <v>0</v>
      </c>
      <c r="O35" t="s">
        <v>542</v>
      </c>
      <c r="P35" t="s">
        <v>667</v>
      </c>
      <c r="Q35">
        <f>'AT'!A27</f>
        <v>0</v>
      </c>
      <c r="R35">
        <f>'AT'!H27</f>
        <v>0</v>
      </c>
      <c r="AB35" t="s">
        <v>596</v>
      </c>
      <c r="AC35" t="s">
        <v>154</v>
      </c>
      <c r="AD35">
        <f>'CA'!A38</f>
        <v>0</v>
      </c>
      <c r="AE35">
        <f>'CA'!H38</f>
        <v>0</v>
      </c>
      <c r="AP35" t="s">
        <v>154</v>
      </c>
      <c r="AQ35" t="s">
        <v>751</v>
      </c>
      <c r="AR35">
        <f>'CA'!A38</f>
        <v>0</v>
      </c>
      <c r="AS35">
        <f>'CA'!H38</f>
        <v>0</v>
      </c>
    </row>
    <row r="36" spans="1:53">
      <c r="A36" t="s">
        <v>536</v>
      </c>
      <c r="B36" t="s">
        <v>643</v>
      </c>
      <c r="C36">
        <f>'AC'!A73</f>
        <v>0</v>
      </c>
      <c r="D36">
        <f>'AC'!H73</f>
        <v>0</v>
      </c>
      <c r="O36" t="s">
        <v>545</v>
      </c>
      <c r="P36" t="s">
        <v>668</v>
      </c>
      <c r="Q36">
        <f>'CM'!A18</f>
        <v>0</v>
      </c>
      <c r="R36">
        <f>'CM'!H18</f>
        <v>0</v>
      </c>
      <c r="AB36" t="s">
        <v>596</v>
      </c>
      <c r="AC36" t="s">
        <v>155</v>
      </c>
      <c r="AD36">
        <f>'CA'!A40</f>
        <v>0</v>
      </c>
      <c r="AE36">
        <f>'CA'!H40</f>
        <v>0</v>
      </c>
      <c r="AP36" t="s">
        <v>155</v>
      </c>
      <c r="AQ36">
        <v>998</v>
      </c>
      <c r="AR36">
        <f>'CA'!A40</f>
        <v>0</v>
      </c>
      <c r="AS36">
        <f>'CA'!H40</f>
        <v>0</v>
      </c>
    </row>
    <row r="37" spans="1:53">
      <c r="A37" t="s">
        <v>536</v>
      </c>
      <c r="B37" t="s">
        <v>643</v>
      </c>
      <c r="C37">
        <f>'AC'!A74</f>
        <v>0</v>
      </c>
      <c r="D37">
        <f>'AC'!H74</f>
        <v>0</v>
      </c>
      <c r="O37" t="s">
        <v>545</v>
      </c>
      <c r="P37" t="s">
        <v>669</v>
      </c>
      <c r="Q37">
        <f>'CM'!A23</f>
        <v>0</v>
      </c>
      <c r="R37">
        <f>'CM'!H23</f>
        <v>0</v>
      </c>
      <c r="AB37" t="s">
        <v>596</v>
      </c>
      <c r="AC37" t="s">
        <v>156</v>
      </c>
      <c r="AD37">
        <f>'CA'!A42</f>
        <v>0</v>
      </c>
      <c r="AE37">
        <f>'CA'!H42</f>
        <v>0</v>
      </c>
      <c r="AP37" t="s">
        <v>156</v>
      </c>
      <c r="AQ37">
        <v>997</v>
      </c>
      <c r="AR37">
        <f>'CA'!A42</f>
        <v>0</v>
      </c>
      <c r="AS37">
        <f>'CA'!H42</f>
        <v>0</v>
      </c>
    </row>
    <row r="38" spans="1:53">
      <c r="A38" t="s">
        <v>536</v>
      </c>
      <c r="B38" t="s">
        <v>644</v>
      </c>
      <c r="C38">
        <f>'AC'!A78</f>
        <v>0</v>
      </c>
      <c r="D38">
        <f>'AC'!H78</f>
        <v>0</v>
      </c>
      <c r="O38" t="s">
        <v>545</v>
      </c>
      <c r="P38" t="s">
        <v>670</v>
      </c>
      <c r="Q38">
        <f>'CM'!A30</f>
        <v>0</v>
      </c>
      <c r="R38">
        <f>'CM'!H30</f>
        <v>0</v>
      </c>
      <c r="AB38" t="s">
        <v>600</v>
      </c>
      <c r="AC38" t="s">
        <v>154</v>
      </c>
      <c r="AD38">
        <f>'SI'!A53</f>
        <v>0</v>
      </c>
      <c r="AE38">
        <f>'SI'!H53</f>
        <v>0</v>
      </c>
      <c r="AP38" t="s">
        <v>154</v>
      </c>
      <c r="AQ38" t="s">
        <v>751</v>
      </c>
      <c r="AR38">
        <f>'SI'!A53</f>
        <v>0</v>
      </c>
      <c r="AS38">
        <f>'SI'!H53</f>
        <v>0</v>
      </c>
    </row>
    <row r="39" spans="1:53">
      <c r="A39" t="s">
        <v>536</v>
      </c>
      <c r="B39" t="s">
        <v>644</v>
      </c>
      <c r="C39">
        <f>'AC'!A79</f>
        <v>0</v>
      </c>
      <c r="D39">
        <f>'AC'!H79</f>
        <v>0</v>
      </c>
      <c r="O39" t="s">
        <v>545</v>
      </c>
      <c r="P39" t="s">
        <v>671</v>
      </c>
      <c r="Q39">
        <f>'CM'!A34</f>
        <v>0</v>
      </c>
      <c r="R39">
        <f>'CM'!H34</f>
        <v>0</v>
      </c>
      <c r="AB39" t="s">
        <v>600</v>
      </c>
      <c r="AC39" t="s">
        <v>155</v>
      </c>
      <c r="AD39">
        <f>'SI'!A55</f>
        <v>0</v>
      </c>
      <c r="AE39">
        <f>'SI'!H55</f>
        <v>0</v>
      </c>
      <c r="AP39" t="s">
        <v>155</v>
      </c>
      <c r="AQ39">
        <v>998</v>
      </c>
      <c r="AR39">
        <f>'SI'!A55</f>
        <v>0</v>
      </c>
      <c r="AS39">
        <f>'SI'!H55</f>
        <v>0</v>
      </c>
    </row>
    <row r="40" spans="1:53">
      <c r="A40" t="s">
        <v>536</v>
      </c>
      <c r="B40" t="s">
        <v>645</v>
      </c>
      <c r="C40">
        <f>'AC'!A83</f>
        <v>0</v>
      </c>
      <c r="D40">
        <f>'AC'!H83</f>
        <v>0</v>
      </c>
      <c r="O40" t="s">
        <v>545</v>
      </c>
      <c r="P40" t="s">
        <v>672</v>
      </c>
      <c r="Q40">
        <f>'CM'!A45</f>
        <v>0</v>
      </c>
      <c r="R40">
        <f>'CM'!H45</f>
        <v>0</v>
      </c>
      <c r="AB40" t="s">
        <v>600</v>
      </c>
      <c r="AC40" t="s">
        <v>156</v>
      </c>
      <c r="AD40">
        <f>'SI'!A57</f>
        <v>0</v>
      </c>
      <c r="AE40">
        <f>'SI'!H57</f>
        <v>0</v>
      </c>
      <c r="AP40" t="s">
        <v>156</v>
      </c>
      <c r="AQ40">
        <v>997</v>
      </c>
      <c r="AR40">
        <f>'SI'!A57</f>
        <v>0</v>
      </c>
      <c r="AS40">
        <f>'SI'!H57</f>
        <v>0</v>
      </c>
    </row>
    <row r="41" spans="1:53">
      <c r="A41" t="s">
        <v>536</v>
      </c>
      <c r="B41" t="s">
        <v>645</v>
      </c>
      <c r="C41">
        <f>'AC'!A84</f>
        <v>0</v>
      </c>
      <c r="D41">
        <f>'AC'!H84</f>
        <v>0</v>
      </c>
      <c r="O41" t="s">
        <v>545</v>
      </c>
      <c r="P41" t="s">
        <v>673</v>
      </c>
      <c r="Q41">
        <f>'CM'!A50</f>
        <v>0</v>
      </c>
      <c r="R41">
        <f>'CM'!H50</f>
        <v>0</v>
      </c>
      <c r="AB41" t="s">
        <v>602</v>
      </c>
      <c r="AC41" t="s">
        <v>154</v>
      </c>
      <c r="AD41">
        <f>'SC'!A101</f>
        <v>0</v>
      </c>
      <c r="AE41">
        <f>'SC'!H101</f>
        <v>0</v>
      </c>
      <c r="AP41" t="s">
        <v>154</v>
      </c>
      <c r="AQ41" t="s">
        <v>751</v>
      </c>
      <c r="AR41">
        <f>'SC'!A101</f>
        <v>0</v>
      </c>
      <c r="AS41">
        <f>'SC'!H101</f>
        <v>0</v>
      </c>
    </row>
    <row r="42" spans="1:53">
      <c r="A42" t="s">
        <v>536</v>
      </c>
      <c r="B42" t="s">
        <v>646</v>
      </c>
      <c r="C42">
        <f>'AC'!A88</f>
        <v>0</v>
      </c>
      <c r="D42">
        <f>'AC'!H88</f>
        <v>0</v>
      </c>
      <c r="O42" t="s">
        <v>545</v>
      </c>
      <c r="P42" t="s">
        <v>674</v>
      </c>
      <c r="Q42">
        <f>'CM'!A68</f>
        <v>0</v>
      </c>
      <c r="R42">
        <f>'CM'!H68</f>
        <v>0</v>
      </c>
      <c r="AB42" t="s">
        <v>602</v>
      </c>
      <c r="AC42" t="s">
        <v>155</v>
      </c>
      <c r="AD42">
        <f>'SC'!A103</f>
        <v>0</v>
      </c>
      <c r="AE42">
        <f>'SC'!H103</f>
        <v>0</v>
      </c>
      <c r="AP42" t="s">
        <v>155</v>
      </c>
      <c r="AQ42">
        <v>998</v>
      </c>
      <c r="AR42">
        <f>'SC'!A103</f>
        <v>0</v>
      </c>
      <c r="AS42">
        <f>'SC'!H103</f>
        <v>0</v>
      </c>
    </row>
    <row r="43" spans="1:53">
      <c r="A43" t="s">
        <v>536</v>
      </c>
      <c r="B43" t="s">
        <v>646</v>
      </c>
      <c r="C43">
        <f>'AC'!A89</f>
        <v>0</v>
      </c>
      <c r="D43">
        <f>'AC'!H89</f>
        <v>0</v>
      </c>
      <c r="O43" t="s">
        <v>545</v>
      </c>
      <c r="P43" t="s">
        <v>675</v>
      </c>
      <c r="Q43">
        <f>'CM'!A74</f>
        <v>0</v>
      </c>
      <c r="R43">
        <f>'CM'!H74</f>
        <v>0</v>
      </c>
      <c r="AB43" t="s">
        <v>602</v>
      </c>
      <c r="AC43" t="s">
        <v>156</v>
      </c>
      <c r="AD43">
        <f>'SC'!A105</f>
        <v>0</v>
      </c>
      <c r="AE43">
        <f>'SC'!H105</f>
        <v>0</v>
      </c>
      <c r="AP43" t="s">
        <v>156</v>
      </c>
      <c r="AQ43">
        <v>997</v>
      </c>
      <c r="AR43">
        <f>'SC'!A105</f>
        <v>0</v>
      </c>
      <c r="AS43">
        <f>'SC'!H105</f>
        <v>0</v>
      </c>
    </row>
    <row r="44" spans="1:53">
      <c r="A44" t="s">
        <v>536</v>
      </c>
      <c r="B44" t="s">
        <v>646</v>
      </c>
      <c r="C44">
        <f>'AC'!A90</f>
        <v>0</v>
      </c>
      <c r="D44">
        <f>'AC'!H90</f>
        <v>0</v>
      </c>
      <c r="O44" t="s">
        <v>545</v>
      </c>
      <c r="P44" t="s">
        <v>676</v>
      </c>
      <c r="Q44">
        <f>'CM'!A80</f>
        <v>0</v>
      </c>
      <c r="R44">
        <f>'CM'!H80</f>
        <v>0</v>
      </c>
    </row>
    <row r="45" spans="1:53">
      <c r="A45" t="s">
        <v>536</v>
      </c>
      <c r="B45" t="s">
        <v>647</v>
      </c>
      <c r="C45">
        <f>'AC'!A94</f>
        <v>0</v>
      </c>
      <c r="D45">
        <f>'AC'!H94</f>
        <v>0</v>
      </c>
      <c r="O45" t="s">
        <v>554</v>
      </c>
      <c r="P45" t="s">
        <v>677</v>
      </c>
      <c r="Q45">
        <f>'IA'!A15</f>
        <v>0</v>
      </c>
      <c r="R45">
        <f>'IA'!H15</f>
        <v>0</v>
      </c>
      <c r="AB45" t="s">
        <v>744</v>
      </c>
      <c r="AD45" t="s">
        <v>52</v>
      </c>
      <c r="AE45">
        <f>COUNTIF(AE2:AE43,AD45)</f>
        <v>0</v>
      </c>
      <c r="AF45">
        <f>VLOOKUP(AD45,DATA_SUPPORT!$D$2:$E$51,2)</f>
        <v>0</v>
      </c>
      <c r="AG45">
        <f>AE45*DATA_SUPPORT!$G$5</f>
        <v>0</v>
      </c>
      <c r="AJ45">
        <f>CONCATENATE(CHAR(34), AF45,CHAR(34), ":", AG45,",")</f>
        <v>0</v>
      </c>
      <c r="AL45">
        <f>AJ45 &amp; AJ46 &amp; AJ47 &amp; AJ48</f>
        <v>0</v>
      </c>
      <c r="AM45">
        <f>CONCATENATE("{",LEFT(AL45,LEN(AL45)-1),"}")</f>
        <v>0</v>
      </c>
      <c r="AP45" t="s">
        <v>744</v>
      </c>
      <c r="AR45" t="s">
        <v>52</v>
      </c>
      <c r="AS45">
        <f>COUNTIF(AS2:AS43,AR45)</f>
        <v>0</v>
      </c>
      <c r="AT45">
        <f>VLOOKUP(AR45,DATA_SUPPORT!$D$2:$E$51,2)</f>
        <v>0</v>
      </c>
      <c r="AU45">
        <f>AS45*DATA_SUPPORT!$G$5</f>
        <v>0</v>
      </c>
      <c r="AX45">
        <f>CONCATENATE(CHAR(34), AT45,CHAR(34), ":", AU45,",")</f>
        <v>0</v>
      </c>
      <c r="AZ45">
        <f>AX45 &amp; AX46 &amp; AX47 &amp; AX48</f>
        <v>0</v>
      </c>
      <c r="BA45">
        <f>CONCATENATE("{",LEFT(AZ45,LEN(AZ45)-1),"}")</f>
        <v>0</v>
      </c>
    </row>
    <row r="46" spans="1:53">
      <c r="A46" t="s">
        <v>536</v>
      </c>
      <c r="B46" t="s">
        <v>647</v>
      </c>
      <c r="C46">
        <f>'AC'!A95</f>
        <v>0</v>
      </c>
      <c r="D46">
        <f>'AC'!H95</f>
        <v>0</v>
      </c>
      <c r="O46" t="s">
        <v>554</v>
      </c>
      <c r="P46" t="s">
        <v>678</v>
      </c>
      <c r="Q46">
        <f>'IA'!A21</f>
        <v>0</v>
      </c>
      <c r="R46">
        <f>'IA'!H21</f>
        <v>0</v>
      </c>
      <c r="AD46" t="s">
        <v>53</v>
      </c>
      <c r="AE46">
        <f>COUNTIF(AE2:AE43,AD46)</f>
        <v>0</v>
      </c>
      <c r="AF46">
        <f>VLOOKUP(AD46,DATA_SUPPORT!$D$2:$E$51,2)</f>
        <v>0</v>
      </c>
      <c r="AG46">
        <f>AE46*DATA_SUPPORT!$G$5</f>
        <v>0</v>
      </c>
      <c r="AJ46">
        <f>CONCATENATE(CHAR(34), AF46,CHAR(34), ":", AG46,",")</f>
        <v>0</v>
      </c>
      <c r="AR46" t="s">
        <v>53</v>
      </c>
      <c r="AS46">
        <f>COUNTIF(AS2:AS43,AR46)</f>
        <v>0</v>
      </c>
      <c r="AT46">
        <f>VLOOKUP(AR46,DATA_SUPPORT!$D$2:$E$51,2)</f>
        <v>0</v>
      </c>
      <c r="AU46">
        <f>AS46*DATA_SUPPORT!$G$5</f>
        <v>0</v>
      </c>
      <c r="AX46">
        <f>CONCATENATE(CHAR(34), AT46,CHAR(34), ":", AU46,",")</f>
        <v>0</v>
      </c>
    </row>
    <row r="47" spans="1:53">
      <c r="A47" t="s">
        <v>536</v>
      </c>
      <c r="B47" t="s">
        <v>648</v>
      </c>
      <c r="C47">
        <f>'AC'!A99</f>
        <v>0</v>
      </c>
      <c r="D47">
        <f>'AC'!H99</f>
        <v>0</v>
      </c>
      <c r="O47" t="s">
        <v>554</v>
      </c>
      <c r="P47" t="s">
        <v>679</v>
      </c>
      <c r="Q47">
        <f>'IA'!A26</f>
        <v>0</v>
      </c>
      <c r="R47">
        <f>'IA'!H26</f>
        <v>0</v>
      </c>
      <c r="AD47" t="s">
        <v>54</v>
      </c>
      <c r="AE47">
        <f>COUNTIF(AE2:AE43,AD47)</f>
        <v>0</v>
      </c>
      <c r="AF47">
        <f>VLOOKUP(AD47,DATA_SUPPORT!$D$2:$E$51,2)</f>
        <v>0</v>
      </c>
      <c r="AG47">
        <f>AE47*DATA_SUPPORT!$G$5</f>
        <v>0</v>
      </c>
      <c r="AJ47">
        <f>CONCATENATE(CHAR(34), AF47,CHAR(34), ":", AG47,",")</f>
        <v>0</v>
      </c>
      <c r="AR47" t="s">
        <v>54</v>
      </c>
      <c r="AS47">
        <f>COUNTIF(AS2:AS43,AR47)</f>
        <v>0</v>
      </c>
      <c r="AT47">
        <f>VLOOKUP(AR47,DATA_SUPPORT!$D$2:$E$51,2)</f>
        <v>0</v>
      </c>
      <c r="AU47">
        <f>AS47*DATA_SUPPORT!$G$5</f>
        <v>0</v>
      </c>
      <c r="AX47">
        <f>CONCATENATE(CHAR(34), AT47,CHAR(34), ":", AU47,",")</f>
        <v>0</v>
      </c>
    </row>
    <row r="48" spans="1:53">
      <c r="A48" t="s">
        <v>536</v>
      </c>
      <c r="B48" t="s">
        <v>648</v>
      </c>
      <c r="C48">
        <f>'AC'!A100</f>
        <v>0</v>
      </c>
      <c r="D48">
        <f>'AC'!H100</f>
        <v>0</v>
      </c>
      <c r="O48" t="s">
        <v>554</v>
      </c>
      <c r="P48" t="s">
        <v>680</v>
      </c>
      <c r="Q48">
        <f>'IA'!A30</f>
        <v>0</v>
      </c>
      <c r="R48">
        <f>'IA'!H30</f>
        <v>0</v>
      </c>
      <c r="AD48" t="s">
        <v>51</v>
      </c>
      <c r="AE48">
        <f>COUNTIF(AE2:AE43,AD48)</f>
        <v>0</v>
      </c>
      <c r="AF48">
        <f>VLOOKUP(AD48,DATA_SUPPORT!$D$2:$E$51,2)</f>
        <v>0</v>
      </c>
      <c r="AG48">
        <f>AE48*DATA_SUPPORT!$G$5</f>
        <v>0</v>
      </c>
      <c r="AJ48">
        <f>CONCATENATE(CHAR(34), AF48,CHAR(34), ":", AG48,",")</f>
        <v>0</v>
      </c>
      <c r="AR48" t="s">
        <v>51</v>
      </c>
      <c r="AS48">
        <f>COUNTIF(AS2:AS43,AR48)</f>
        <v>0</v>
      </c>
      <c r="AT48">
        <f>VLOOKUP(AR48,DATA_SUPPORT!$D$2:$E$51,2)</f>
        <v>0</v>
      </c>
      <c r="AU48">
        <f>AS48*DATA_SUPPORT!$G$5</f>
        <v>0</v>
      </c>
      <c r="AX48">
        <f>CONCATENATE(CHAR(34), AT48,CHAR(34), ":", AU48,",")</f>
        <v>0</v>
      </c>
    </row>
    <row r="49" spans="1:54">
      <c r="A49" t="s">
        <v>536</v>
      </c>
      <c r="B49" t="s">
        <v>648</v>
      </c>
      <c r="C49">
        <f>'AC'!A101</f>
        <v>0</v>
      </c>
      <c r="D49">
        <f>'AC'!H101</f>
        <v>0</v>
      </c>
      <c r="O49" t="s">
        <v>554</v>
      </c>
      <c r="P49" t="s">
        <v>681</v>
      </c>
      <c r="Q49">
        <f>'IA'!A37</f>
        <v>0</v>
      </c>
      <c r="R49">
        <f>'IA'!H37</f>
        <v>0</v>
      </c>
    </row>
    <row r="50" spans="1:54">
      <c r="A50" t="s">
        <v>536</v>
      </c>
      <c r="B50" t="s">
        <v>649</v>
      </c>
      <c r="C50">
        <f>'AC'!A105</f>
        <v>0</v>
      </c>
      <c r="D50">
        <f>'AC'!H105</f>
        <v>0</v>
      </c>
      <c r="O50" t="s">
        <v>554</v>
      </c>
      <c r="P50" t="s">
        <v>682</v>
      </c>
      <c r="Q50">
        <f>'IA'!A41</f>
        <v>0</v>
      </c>
      <c r="R50">
        <f>'IA'!H41</f>
        <v>0</v>
      </c>
      <c r="AB50" t="s">
        <v>623</v>
      </c>
      <c r="AE50" t="s">
        <v>52</v>
      </c>
      <c r="AF50" t="s">
        <v>53</v>
      </c>
      <c r="AG50" t="s">
        <v>54</v>
      </c>
      <c r="AH50" t="s">
        <v>51</v>
      </c>
      <c r="AI50" t="s">
        <v>624</v>
      </c>
      <c r="AJ50" t="s">
        <v>625</v>
      </c>
      <c r="AK50" t="s">
        <v>626</v>
      </c>
      <c r="AL50" t="s">
        <v>627</v>
      </c>
      <c r="AP50" t="s">
        <v>623</v>
      </c>
      <c r="AS50" t="s">
        <v>52</v>
      </c>
      <c r="AT50" t="s">
        <v>53</v>
      </c>
      <c r="AU50" t="s">
        <v>54</v>
      </c>
      <c r="AV50" t="s">
        <v>51</v>
      </c>
      <c r="AW50" t="s">
        <v>624</v>
      </c>
      <c r="AX50" t="s">
        <v>625</v>
      </c>
      <c r="AY50" t="s">
        <v>626</v>
      </c>
      <c r="AZ50" t="s">
        <v>627</v>
      </c>
    </row>
    <row r="51" spans="1:54">
      <c r="A51" t="s">
        <v>536</v>
      </c>
      <c r="B51" t="s">
        <v>649</v>
      </c>
      <c r="C51">
        <f>'AC'!A106</f>
        <v>0</v>
      </c>
      <c r="D51">
        <f>'AC'!H106</f>
        <v>0</v>
      </c>
      <c r="O51" t="s">
        <v>554</v>
      </c>
      <c r="P51" t="s">
        <v>683</v>
      </c>
      <c r="Q51">
        <f>'IA'!A46</f>
        <v>0</v>
      </c>
      <c r="R51">
        <f>'IA'!H46</f>
        <v>0</v>
      </c>
      <c r="AD51" t="s">
        <v>536</v>
      </c>
      <c r="AE51">
        <f>COUNTIFS(AB2:AB43,AD51,AE2:AE43,AE50)</f>
        <v>0</v>
      </c>
      <c r="AF51">
        <f>COUNTIFS(AB2:AB43,AD51,AE2:AE43,AF50)</f>
        <v>0</v>
      </c>
      <c r="AG51">
        <f>COUNTIFS(AB2:AB43,AD51,AE2:AE43,AG50)</f>
        <v>0</v>
      </c>
      <c r="AH51">
        <f>COUNTIFS(AB2:AB43,AD51,AE2:AE43,AH50)</f>
        <v>0</v>
      </c>
      <c r="AI51">
        <f>(AE51 * 10000) + (AF51 * 1000) + (AG51 * 100) + (AH51 * 10)</f>
        <v>0</v>
      </c>
      <c r="AJ51">
        <f>COUNTIF(AI51:AI64,"&lt;"&amp;AI51)</f>
        <v>0</v>
      </c>
      <c r="AK51">
        <f>COUNTIF(AJ51:AJ51,"="&amp;AJ51)</f>
        <v>0</v>
      </c>
      <c r="AL51">
        <f>AJ51 + AK51</f>
        <v>0</v>
      </c>
      <c r="AR51" t="s">
        <v>154</v>
      </c>
      <c r="AS51">
        <f>COUNTIFS(AP2:AP43,AR51,AS2:AS43,AS50)</f>
        <v>0</v>
      </c>
      <c r="AT51">
        <f>COUNTIFS(AP2:AP43,AR51,AS2:AS43,AT50)</f>
        <v>0</v>
      </c>
      <c r="AU51">
        <f>COUNTIFS(AP2:AP43,AR51,AS2:AS43,AU50)</f>
        <v>0</v>
      </c>
      <c r="AV51">
        <f>COUNTIFS(AP2:AP43,AR51,AS2:AS43,AV50)</f>
        <v>0</v>
      </c>
      <c r="AW51">
        <f>(AS51 * 10000) + (AT51 * 1000) + (AU51 * 100) + (AV51 * 10)</f>
        <v>0</v>
      </c>
      <c r="AX51">
        <f>COUNTIF(AW51:AW53,"&lt;"&amp;AW51)</f>
        <v>0</v>
      </c>
      <c r="AY51">
        <f>COUNTIF(AX51:AX51,"="&amp;AX51)</f>
        <v>0</v>
      </c>
      <c r="AZ51">
        <f>AX51 + AY51</f>
        <v>0</v>
      </c>
    </row>
    <row r="52" spans="1:54">
      <c r="A52" t="s">
        <v>536</v>
      </c>
      <c r="B52" t="s">
        <v>649</v>
      </c>
      <c r="C52">
        <f>'AC'!A107</f>
        <v>0</v>
      </c>
      <c r="D52">
        <f>'AC'!H107</f>
        <v>0</v>
      </c>
      <c r="O52" t="s">
        <v>554</v>
      </c>
      <c r="P52" t="s">
        <v>684</v>
      </c>
      <c r="Q52">
        <f>'IA'!A51</f>
        <v>0</v>
      </c>
      <c r="R52">
        <f>'IA'!H51</f>
        <v>0</v>
      </c>
      <c r="AD52" t="s">
        <v>540</v>
      </c>
      <c r="AE52">
        <f>COUNTIFS(AB2:AB43,AD52,AE2:AE43,AE50)</f>
        <v>0</v>
      </c>
      <c r="AF52">
        <f>COUNTIFS(AB2:AB43,AD52,AE2:AE43,AF50)</f>
        <v>0</v>
      </c>
      <c r="AG52">
        <f>COUNTIFS(AB2:AB43,AD52,AE2:AE43,AG50)</f>
        <v>0</v>
      </c>
      <c r="AH52">
        <f>COUNTIFS(AB2:AB43,AD52,AE2:AE43,AH50)</f>
        <v>0</v>
      </c>
      <c r="AI52">
        <f>(AE52 * 10000) + (AF52 * 1000) + (AG52 * 100) + (AH52 * 10)</f>
        <v>0</v>
      </c>
      <c r="AJ52">
        <f>COUNTIF(AI51:AI64,"&lt;"&amp;AI52)</f>
        <v>0</v>
      </c>
      <c r="AK52">
        <f>COUNTIF(AJ51:AJ52,"="&amp;AJ52)</f>
        <v>0</v>
      </c>
      <c r="AL52">
        <f>AJ52 + AK52</f>
        <v>0</v>
      </c>
      <c r="AR52" t="s">
        <v>155</v>
      </c>
      <c r="AS52">
        <f>COUNTIFS(AP2:AP43,AR52,AS2:AS43,AS50)</f>
        <v>0</v>
      </c>
      <c r="AT52">
        <f>COUNTIFS(AP2:AP43,AR52,AS2:AS43,AT50)</f>
        <v>0</v>
      </c>
      <c r="AU52">
        <f>COUNTIFS(AP2:AP43,AR52,AS2:AS43,AU50)</f>
        <v>0</v>
      </c>
      <c r="AV52">
        <f>COUNTIFS(AP2:AP43,AR52,AS2:AS43,AV50)</f>
        <v>0</v>
      </c>
      <c r="AW52">
        <f>(AS52 * 10000) + (AT52 * 1000) + (AU52 * 100) + (AV52 * 10)</f>
        <v>0</v>
      </c>
      <c r="AX52">
        <f>COUNTIF(AW51:AW53,"&lt;"&amp;AW52)</f>
        <v>0</v>
      </c>
      <c r="AY52">
        <f>COUNTIF(AX51:AX52,"="&amp;AX52)</f>
        <v>0</v>
      </c>
      <c r="AZ52">
        <f>AX52 + AY52</f>
        <v>0</v>
      </c>
    </row>
    <row r="53" spans="1:54">
      <c r="A53" t="s">
        <v>536</v>
      </c>
      <c r="B53" t="s">
        <v>649</v>
      </c>
      <c r="C53">
        <f>'AC'!A108</f>
        <v>0</v>
      </c>
      <c r="D53">
        <f>'AC'!H108</f>
        <v>0</v>
      </c>
      <c r="O53" t="s">
        <v>554</v>
      </c>
      <c r="P53" t="s">
        <v>685</v>
      </c>
      <c r="Q53">
        <f>'IA'!A58</f>
        <v>0</v>
      </c>
      <c r="R53">
        <f>'IA'!H58</f>
        <v>0</v>
      </c>
      <c r="AD53" t="s">
        <v>542</v>
      </c>
      <c r="AE53">
        <f>COUNTIFS(AB2:AB43,AD53,AE2:AE43,AE50)</f>
        <v>0</v>
      </c>
      <c r="AF53">
        <f>COUNTIFS(AB2:AB43,AD53,AE2:AE43,AF50)</f>
        <v>0</v>
      </c>
      <c r="AG53">
        <f>COUNTIFS(AB2:AB43,AD53,AE2:AE43,AG50)</f>
        <v>0</v>
      </c>
      <c r="AH53">
        <f>COUNTIFS(AB2:AB43,AD53,AE2:AE43,AH50)</f>
        <v>0</v>
      </c>
      <c r="AI53">
        <f>(AE53 * 10000) + (AF53 * 1000) + (AG53 * 100) + (AH53 * 10)</f>
        <v>0</v>
      </c>
      <c r="AJ53">
        <f>COUNTIF(AI51:AI64,"&lt;"&amp;AI53)</f>
        <v>0</v>
      </c>
      <c r="AK53">
        <f>COUNTIF(AJ51:AJ53,"="&amp;AJ53)</f>
        <v>0</v>
      </c>
      <c r="AL53">
        <f>AJ53 + AK53</f>
        <v>0</v>
      </c>
      <c r="AR53" t="s">
        <v>156</v>
      </c>
      <c r="AS53">
        <f>COUNTIFS(AP2:AP43,AR53,AS2:AS43,AS50)</f>
        <v>0</v>
      </c>
      <c r="AT53">
        <f>COUNTIFS(AP2:AP43,AR53,AS2:AS43,AT50)</f>
        <v>0</v>
      </c>
      <c r="AU53">
        <f>COUNTIFS(AP2:AP43,AR53,AS2:AS43,AU50)</f>
        <v>0</v>
      </c>
      <c r="AV53">
        <f>COUNTIFS(AP2:AP43,AR53,AS2:AS43,AV50)</f>
        <v>0</v>
      </c>
      <c r="AW53">
        <f>(AS53 * 10000) + (AT53 * 1000) + (AU53 * 100) + (AV53 * 10)</f>
        <v>0</v>
      </c>
      <c r="AX53">
        <f>COUNTIF(AW51:AW53,"&lt;"&amp;AW53)</f>
        <v>0</v>
      </c>
      <c r="AY53">
        <f>COUNTIF(AX51:AX53,"="&amp;AX53)</f>
        <v>0</v>
      </c>
      <c r="AZ53">
        <f>AX53 + AY53</f>
        <v>0</v>
      </c>
    </row>
    <row r="54" spans="1:54">
      <c r="A54" t="s">
        <v>536</v>
      </c>
      <c r="B54" t="s">
        <v>649</v>
      </c>
      <c r="C54">
        <f>'AC'!A109</f>
        <v>0</v>
      </c>
      <c r="D54">
        <f>'AC'!H109</f>
        <v>0</v>
      </c>
      <c r="O54" t="s">
        <v>554</v>
      </c>
      <c r="P54" t="s">
        <v>686</v>
      </c>
      <c r="Q54">
        <f>'IA'!A63</f>
        <v>0</v>
      </c>
      <c r="R54">
        <f>'IA'!H63</f>
        <v>0</v>
      </c>
      <c r="AD54" t="s">
        <v>545</v>
      </c>
      <c r="AE54">
        <f>COUNTIFS(AB2:AB43,AD54,AE2:AE43,AE50)</f>
        <v>0</v>
      </c>
      <c r="AF54">
        <f>COUNTIFS(AB2:AB43,AD54,AE2:AE43,AF50)</f>
        <v>0</v>
      </c>
      <c r="AG54">
        <f>COUNTIFS(AB2:AB43,AD54,AE2:AE43,AG50)</f>
        <v>0</v>
      </c>
      <c r="AH54">
        <f>COUNTIFS(AB2:AB43,AD54,AE2:AE43,AH50)</f>
        <v>0</v>
      </c>
      <c r="AI54">
        <f>(AE54 * 10000) + (AF54 * 1000) + (AG54 * 100) + (AH54 * 10)</f>
        <v>0</v>
      </c>
      <c r="AJ54">
        <f>COUNTIF(AI51:AI64,"&lt;"&amp;AI54)</f>
        <v>0</v>
      </c>
      <c r="AK54">
        <f>COUNTIF(AJ51:AJ54,"="&amp;AJ54)</f>
        <v>0</v>
      </c>
      <c r="AL54">
        <f>AJ54 + AK54</f>
        <v>0</v>
      </c>
    </row>
    <row r="55" spans="1:54">
      <c r="A55" t="s">
        <v>536</v>
      </c>
      <c r="B55" t="s">
        <v>650</v>
      </c>
      <c r="C55">
        <f>'AC'!A113</f>
        <v>0</v>
      </c>
      <c r="D55">
        <f>'AC'!H113</f>
        <v>0</v>
      </c>
      <c r="O55" t="s">
        <v>554</v>
      </c>
      <c r="P55" t="s">
        <v>687</v>
      </c>
      <c r="Q55">
        <f>'IA'!A67</f>
        <v>0</v>
      </c>
      <c r="R55">
        <f>'IA'!H67</f>
        <v>0</v>
      </c>
      <c r="AD55" t="s">
        <v>554</v>
      </c>
      <c r="AE55">
        <f>COUNTIFS(AB2:AB43,AD55,AE2:AE43,AE50)</f>
        <v>0</v>
      </c>
      <c r="AF55">
        <f>COUNTIFS(AB2:AB43,AD55,AE2:AE43,AF50)</f>
        <v>0</v>
      </c>
      <c r="AG55">
        <f>COUNTIFS(AB2:AB43,AD55,AE2:AE43,AG50)</f>
        <v>0</v>
      </c>
      <c r="AH55">
        <f>COUNTIFS(AB2:AB43,AD55,AE2:AE43,AH50)</f>
        <v>0</v>
      </c>
      <c r="AI55">
        <f>(AE55 * 10000) + (AF55 * 1000) + (AG55 * 100) + (AH55 * 10)</f>
        <v>0</v>
      </c>
      <c r="AJ55">
        <f>COUNTIF(AI51:AI64,"&lt;"&amp;AI55)</f>
        <v>0</v>
      </c>
      <c r="AK55">
        <f>COUNTIF(AJ51:AJ55,"="&amp;AJ55)</f>
        <v>0</v>
      </c>
      <c r="AL55">
        <f>AJ55 + AK55</f>
        <v>0</v>
      </c>
    </row>
    <row r="56" spans="1:54">
      <c r="A56" t="s">
        <v>536</v>
      </c>
      <c r="B56" t="s">
        <v>650</v>
      </c>
      <c r="C56">
        <f>'AC'!A114</f>
        <v>0</v>
      </c>
      <c r="D56">
        <f>'AC'!H114</f>
        <v>0</v>
      </c>
      <c r="O56" t="s">
        <v>556</v>
      </c>
      <c r="P56" t="s">
        <v>688</v>
      </c>
      <c r="Q56">
        <f>'IR'!A19</f>
        <v>0</v>
      </c>
      <c r="R56">
        <f>'IR'!H19</f>
        <v>0</v>
      </c>
      <c r="AD56" t="s">
        <v>556</v>
      </c>
      <c r="AE56">
        <f>COUNTIFS(AB2:AB43,AD56,AE2:AE43,AE50)</f>
        <v>0</v>
      </c>
      <c r="AF56">
        <f>COUNTIFS(AB2:AB43,AD56,AE2:AE43,AF50)</f>
        <v>0</v>
      </c>
      <c r="AG56">
        <f>COUNTIFS(AB2:AB43,AD56,AE2:AE43,AG50)</f>
        <v>0</v>
      </c>
      <c r="AH56">
        <f>COUNTIFS(AB2:AB43,AD56,AE2:AE43,AH50)</f>
        <v>0</v>
      </c>
      <c r="AI56">
        <f>(AE56 * 10000) + (AF56 * 1000) + (AG56 * 100) + (AH56 * 10)</f>
        <v>0</v>
      </c>
      <c r="AJ56">
        <f>COUNTIF(AI51:AI64,"&lt;"&amp;AI56)</f>
        <v>0</v>
      </c>
      <c r="AK56">
        <f>COUNTIF(AJ51:AJ56,"="&amp;AJ56)</f>
        <v>0</v>
      </c>
      <c r="AL56">
        <f>AJ56 + AK56</f>
        <v>0</v>
      </c>
    </row>
    <row r="57" spans="1:54">
      <c r="A57" t="s">
        <v>536</v>
      </c>
      <c r="B57" t="s">
        <v>650</v>
      </c>
      <c r="C57">
        <f>'AC'!A115</f>
        <v>0</v>
      </c>
      <c r="D57">
        <f>'AC'!H115</f>
        <v>0</v>
      </c>
      <c r="O57" t="s">
        <v>556</v>
      </c>
      <c r="P57" t="s">
        <v>689</v>
      </c>
      <c r="Q57">
        <f>'IR'!A28</f>
        <v>0</v>
      </c>
      <c r="R57">
        <f>'IR'!H28</f>
        <v>0</v>
      </c>
      <c r="AD57" t="s">
        <v>561</v>
      </c>
      <c r="AE57">
        <f>COUNTIFS(AB2:AB43,AD57,AE2:AE43,AE50)</f>
        <v>0</v>
      </c>
      <c r="AF57">
        <f>COUNTIFS(AB2:AB43,AD57,AE2:AE43,AF50)</f>
        <v>0</v>
      </c>
      <c r="AG57">
        <f>COUNTIFS(AB2:AB43,AD57,AE2:AE43,AG50)</f>
        <v>0</v>
      </c>
      <c r="AH57">
        <f>COUNTIFS(AB2:AB43,AD57,AE2:AE43,AH50)</f>
        <v>0</v>
      </c>
      <c r="AI57">
        <f>(AE57 * 10000) + (AF57 * 1000) + (AG57 * 100) + (AH57 * 10)</f>
        <v>0</v>
      </c>
      <c r="AJ57">
        <f>COUNTIF(AI51:AI64,"&lt;"&amp;AI57)</f>
        <v>0</v>
      </c>
      <c r="AK57">
        <f>COUNTIF(AJ51:AJ57,"="&amp;AJ57)</f>
        <v>0</v>
      </c>
      <c r="AL57">
        <f>AJ57 + AK57</f>
        <v>0</v>
      </c>
      <c r="AP57" t="s">
        <v>628</v>
      </c>
    </row>
    <row r="58" spans="1:54">
      <c r="A58" t="s">
        <v>536</v>
      </c>
      <c r="B58" t="s">
        <v>651</v>
      </c>
      <c r="C58">
        <f>'AC'!A119</f>
        <v>0</v>
      </c>
      <c r="D58">
        <f>'AC'!H119</f>
        <v>0</v>
      </c>
      <c r="O58" t="s">
        <v>556</v>
      </c>
      <c r="P58" t="s">
        <v>690</v>
      </c>
      <c r="Q58">
        <f>'IR'!A32</f>
        <v>0</v>
      </c>
      <c r="R58">
        <f>'IR'!H32</f>
        <v>0</v>
      </c>
      <c r="AD58" t="s">
        <v>563</v>
      </c>
      <c r="AE58">
        <f>COUNTIFS(AB2:AB43,AD58,AE2:AE43,AE50)</f>
        <v>0</v>
      </c>
      <c r="AF58">
        <f>COUNTIFS(AB2:AB43,AD58,AE2:AE43,AF50)</f>
        <v>0</v>
      </c>
      <c r="AG58">
        <f>COUNTIFS(AB2:AB43,AD58,AE2:AE43,AG50)</f>
        <v>0</v>
      </c>
      <c r="AH58">
        <f>COUNTIFS(AB2:AB43,AD58,AE2:AE43,AH50)</f>
        <v>0</v>
      </c>
      <c r="AI58">
        <f>(AE58 * 10000) + (AF58 * 1000) + (AG58 * 100) + (AH58 * 10)</f>
        <v>0</v>
      </c>
      <c r="AJ58">
        <f>COUNTIF(AI51:AI64,"&lt;"&amp;AI58)</f>
        <v>0</v>
      </c>
      <c r="AK58">
        <f>COUNTIF(AJ51:AJ58,"="&amp;AJ58)</f>
        <v>0</v>
      </c>
      <c r="AL58">
        <f>AJ58 + AK58</f>
        <v>0</v>
      </c>
      <c r="AP58" t="s">
        <v>629</v>
      </c>
      <c r="AQ58" t="s">
        <v>630</v>
      </c>
      <c r="AS58" t="s">
        <v>52</v>
      </c>
      <c r="AT58" t="s">
        <v>53</v>
      </c>
      <c r="AU58" t="s">
        <v>54</v>
      </c>
      <c r="AV58" t="s">
        <v>51</v>
      </c>
      <c r="AW58" t="s">
        <v>631</v>
      </c>
      <c r="AX58">
        <f>VLOOKUP("Completed",DATA_SUPPORT!$D$2:$E$51,2)</f>
        <v>0</v>
      </c>
      <c r="AY58">
        <f>VLOOKUP("Partially Completed",DATA_SUPPORT!$D$2:$E$51,2)</f>
        <v>0</v>
      </c>
      <c r="AZ58">
        <f>VLOOKUP("Not Yet Started",DATA_SUPPORT!$D$2:$E$51,2)</f>
        <v>0</v>
      </c>
      <c r="BA58">
        <f>VLOOKUP("No Answer",DATA_SUPPORT!$D$2:$E$51,2)</f>
        <v>0</v>
      </c>
      <c r="BB58" t="s">
        <v>632</v>
      </c>
    </row>
    <row r="59" spans="1:54">
      <c r="A59" t="s">
        <v>536</v>
      </c>
      <c r="B59" t="s">
        <v>651</v>
      </c>
      <c r="C59">
        <f>'AC'!A120</f>
        <v>0</v>
      </c>
      <c r="D59">
        <f>'AC'!H120</f>
        <v>0</v>
      </c>
      <c r="O59" t="s">
        <v>561</v>
      </c>
      <c r="P59" t="s">
        <v>691</v>
      </c>
      <c r="Q59">
        <f>'MA'!A13</f>
        <v>0</v>
      </c>
      <c r="R59">
        <f>'MA'!H13</f>
        <v>0</v>
      </c>
      <c r="AD59" t="s">
        <v>574</v>
      </c>
      <c r="AE59">
        <f>COUNTIFS(AB2:AB43,AD59,AE2:AE43,AE50)</f>
        <v>0</v>
      </c>
      <c r="AF59">
        <f>COUNTIFS(AB2:AB43,AD59,AE2:AE43,AF50)</f>
        <v>0</v>
      </c>
      <c r="AG59">
        <f>COUNTIFS(AB2:AB43,AD59,AE2:AE43,AG50)</f>
        <v>0</v>
      </c>
      <c r="AH59">
        <f>COUNTIFS(AB2:AB43,AD59,AE2:AE43,AH50)</f>
        <v>0</v>
      </c>
      <c r="AI59">
        <f>(AE59 * 10000) + (AF59 * 1000) + (AG59 * 100) + (AH59 * 10)</f>
        <v>0</v>
      </c>
      <c r="AJ59">
        <f>COUNTIF(AI51:AI64,"&lt;"&amp;AI59)</f>
        <v>0</v>
      </c>
      <c r="AK59">
        <f>COUNTIF(AJ51:AJ59,"="&amp;AJ59)</f>
        <v>0</v>
      </c>
      <c r="AL59">
        <f>AJ59 + AK59</f>
        <v>0</v>
      </c>
      <c r="AP59">
        <f>1</f>
        <v>0</v>
      </c>
      <c r="AQ59">
        <f>MATCH(AP59, AZ51:AZ53, 0)</f>
        <v>0</v>
      </c>
      <c r="AR59">
        <f>INDEX(AR51:AR53, AQ59, 1)</f>
        <v>0</v>
      </c>
      <c r="AS59">
        <f>INDEX(AS51:AS53, AQ59, 1)</f>
        <v>0</v>
      </c>
      <c r="AT59">
        <f>INDEX(AT51:AT53, AQ59, 1)</f>
        <v>0</v>
      </c>
      <c r="AU59">
        <f>INDEX(AU51:AU53, AQ59, 1)</f>
        <v>0</v>
      </c>
      <c r="AV59">
        <f>INDEX(AV51:AV53, AQ59, 1)</f>
        <v>0</v>
      </c>
      <c r="AW59">
        <f>VLOOKUP(AR59,DATA_SUPPORT!$D$2:$E$51,2)</f>
        <v>0</v>
      </c>
      <c r="AX59">
        <f>AS59*DATA_SUPPORT!$G$5</f>
        <v>0</v>
      </c>
      <c r="AY59">
        <f>AT59*DATA_SUPPORT!$G$5</f>
        <v>0</v>
      </c>
      <c r="AZ59">
        <f>AU59*DATA_SUPPORT!$G$5</f>
        <v>0</v>
      </c>
      <c r="BA59">
        <f>AV59*DATA_SUPPORT!$G$5</f>
        <v>0</v>
      </c>
      <c r="BB59">
        <f>CHAR(34) &amp; AX58 &amp; CHAR(34) &amp; ":" &amp; AX59 &amp; ", " &amp; CHAR(34) &amp; AY58 &amp; CHAR(34) &amp; ":" &amp; AY59 &amp; ", " &amp; CHAR(34) &amp; AZ58 &amp; CHAR(34) &amp; ":" &amp; AZ59 &amp; ", " &amp; CHAR(34) &amp; BA58 &amp; CHAR(34) &amp; ":" &amp; BA59</f>
        <v>0</v>
      </c>
    </row>
    <row r="60" spans="1:54">
      <c r="A60" t="s">
        <v>536</v>
      </c>
      <c r="B60" t="s">
        <v>651</v>
      </c>
      <c r="C60">
        <f>'AC'!A121</f>
        <v>0</v>
      </c>
      <c r="D60">
        <f>'AC'!H121</f>
        <v>0</v>
      </c>
      <c r="O60" t="s">
        <v>561</v>
      </c>
      <c r="P60" t="s">
        <v>692</v>
      </c>
      <c r="Q60">
        <f>'MA'!A20</f>
        <v>0</v>
      </c>
      <c r="R60">
        <f>'MA'!H20</f>
        <v>0</v>
      </c>
      <c r="AD60" t="s">
        <v>576</v>
      </c>
      <c r="AE60">
        <f>COUNTIFS(AB2:AB43,AD60,AE2:AE43,AE50)</f>
        <v>0</v>
      </c>
      <c r="AF60">
        <f>COUNTIFS(AB2:AB43,AD60,AE2:AE43,AF50)</f>
        <v>0</v>
      </c>
      <c r="AG60">
        <f>COUNTIFS(AB2:AB43,AD60,AE2:AE43,AG50)</f>
        <v>0</v>
      </c>
      <c r="AH60">
        <f>COUNTIFS(AB2:AB43,AD60,AE2:AE43,AH50)</f>
        <v>0</v>
      </c>
      <c r="AI60">
        <f>(AE60 * 10000) + (AF60 * 1000) + (AG60 * 100) + (AH60 * 10)</f>
        <v>0</v>
      </c>
      <c r="AJ60">
        <f>COUNTIF(AI51:AI64,"&lt;"&amp;AI60)</f>
        <v>0</v>
      </c>
      <c r="AK60">
        <f>COUNTIF(AJ51:AJ60,"="&amp;AJ60)</f>
        <v>0</v>
      </c>
      <c r="AL60">
        <f>AJ60 + AK60</f>
        <v>0</v>
      </c>
      <c r="AP60">
        <f>2</f>
        <v>0</v>
      </c>
      <c r="AQ60">
        <f>MATCH(AP60, AZ51:AZ53, 0)</f>
        <v>0</v>
      </c>
      <c r="AR60">
        <f>INDEX(AR51:AR53, AQ60, 1)</f>
        <v>0</v>
      </c>
      <c r="AS60">
        <f>INDEX(AS51:AS53, AQ60, 1)</f>
        <v>0</v>
      </c>
      <c r="AT60">
        <f>INDEX(AT51:AT53, AQ60, 1)</f>
        <v>0</v>
      </c>
      <c r="AU60">
        <f>INDEX(AU51:AU53, AQ60, 1)</f>
        <v>0</v>
      </c>
      <c r="AV60">
        <f>INDEX(AV51:AV53, AQ60, 1)</f>
        <v>0</v>
      </c>
      <c r="AW60">
        <f>VLOOKUP(AR60,DATA_SUPPORT!$D$2:$E$51,2)</f>
        <v>0</v>
      </c>
      <c r="AX60">
        <f>AS60*DATA_SUPPORT!$G$5</f>
        <v>0</v>
      </c>
      <c r="AY60">
        <f>AT60*DATA_SUPPORT!$G$5</f>
        <v>0</v>
      </c>
      <c r="AZ60">
        <f>AU60*DATA_SUPPORT!$G$5</f>
        <v>0</v>
      </c>
      <c r="BA60">
        <f>AV60*DATA_SUPPORT!$G$5</f>
        <v>0</v>
      </c>
      <c r="BB60">
        <f>CHAR(34) &amp; AX58 &amp; CHAR(34) &amp; ":" &amp; AX60 &amp; ", " &amp; CHAR(34) &amp; AY58 &amp; CHAR(34) &amp; ":" &amp; AY60 &amp; ", " &amp; CHAR(34) &amp; AZ58 &amp; CHAR(34) &amp; ":" &amp; AZ60 &amp; ", " &amp; CHAR(34) &amp; BA58 &amp; CHAR(34) &amp; ":" &amp; BA60</f>
        <v>0</v>
      </c>
    </row>
    <row r="61" spans="1:54">
      <c r="A61" t="s">
        <v>536</v>
      </c>
      <c r="B61" t="s">
        <v>651</v>
      </c>
      <c r="C61">
        <f>'AC'!A122</f>
        <v>0</v>
      </c>
      <c r="D61">
        <f>'AC'!H122</f>
        <v>0</v>
      </c>
      <c r="O61" t="s">
        <v>561</v>
      </c>
      <c r="P61" t="s">
        <v>693</v>
      </c>
      <c r="Q61">
        <f>'MA'!A24</f>
        <v>0</v>
      </c>
      <c r="R61">
        <f>'MA'!H24</f>
        <v>0</v>
      </c>
      <c r="AD61" t="s">
        <v>610</v>
      </c>
      <c r="AE61">
        <f>COUNTIFS(AB2:AB43,AD61,AE2:AE43,AE50)</f>
        <v>0</v>
      </c>
      <c r="AF61">
        <f>COUNTIFS(AB2:AB43,AD61,AE2:AE43,AF50)</f>
        <v>0</v>
      </c>
      <c r="AG61">
        <f>COUNTIFS(AB2:AB43,AD61,AE2:AE43,AG50)</f>
        <v>0</v>
      </c>
      <c r="AH61">
        <f>COUNTIFS(AB2:AB43,AD61,AE2:AE43,AH50)</f>
        <v>0</v>
      </c>
      <c r="AI61">
        <f>(AE61 * 10000) + (AF61 * 1000) + (AG61 * 100) + (AH61 * 10)</f>
        <v>0</v>
      </c>
      <c r="AJ61">
        <f>COUNTIF(AI51:AI64,"&lt;"&amp;AI61)</f>
        <v>0</v>
      </c>
      <c r="AK61">
        <f>COUNTIF(AJ51:AJ61,"="&amp;AJ61)</f>
        <v>0</v>
      </c>
      <c r="AL61">
        <f>AJ61 + AK61</f>
        <v>0</v>
      </c>
      <c r="AP61">
        <f>3</f>
        <v>0</v>
      </c>
      <c r="AQ61">
        <f>MATCH(AP61, AZ51:AZ53, 0)</f>
        <v>0</v>
      </c>
      <c r="AR61">
        <f>INDEX(AR51:AR53, AQ61, 1)</f>
        <v>0</v>
      </c>
      <c r="AS61">
        <f>INDEX(AS51:AS53, AQ61, 1)</f>
        <v>0</v>
      </c>
      <c r="AT61">
        <f>INDEX(AT51:AT53, AQ61, 1)</f>
        <v>0</v>
      </c>
      <c r="AU61">
        <f>INDEX(AU51:AU53, AQ61, 1)</f>
        <v>0</v>
      </c>
      <c r="AV61">
        <f>INDEX(AV51:AV53, AQ61, 1)</f>
        <v>0</v>
      </c>
      <c r="AW61">
        <f>VLOOKUP(AR61,DATA_SUPPORT!$D$2:$E$51,2)</f>
        <v>0</v>
      </c>
      <c r="AX61">
        <f>AS61*DATA_SUPPORT!$G$5</f>
        <v>0</v>
      </c>
      <c r="AY61">
        <f>AT61*DATA_SUPPORT!$G$5</f>
        <v>0</v>
      </c>
      <c r="AZ61">
        <f>AU61*DATA_SUPPORT!$G$5</f>
        <v>0</v>
      </c>
      <c r="BA61">
        <f>AV61*DATA_SUPPORT!$G$5</f>
        <v>0</v>
      </c>
      <c r="BB61">
        <f>CHAR(34) &amp; AX58 &amp; CHAR(34) &amp; ":" &amp; AX61 &amp; ", " &amp; CHAR(34) &amp; AY58 &amp; CHAR(34) &amp; ":" &amp; AY61 &amp; ", " &amp; CHAR(34) &amp; AZ58 &amp; CHAR(34) &amp; ":" &amp; AZ61 &amp; ", " &amp; CHAR(34) &amp; BA58 &amp; CHAR(34) &amp; ":" &amp; BA61</f>
        <v>0</v>
      </c>
    </row>
    <row r="62" spans="1:54">
      <c r="A62" t="s">
        <v>536</v>
      </c>
      <c r="B62" t="s">
        <v>652</v>
      </c>
      <c r="C62">
        <f>'AC'!A126</f>
        <v>0</v>
      </c>
      <c r="D62">
        <f>'AC'!H126</f>
        <v>0</v>
      </c>
      <c r="O62" t="s">
        <v>561</v>
      </c>
      <c r="P62" t="s">
        <v>694</v>
      </c>
      <c r="Q62">
        <f>'MA'!A28</f>
        <v>0</v>
      </c>
      <c r="R62">
        <f>'MA'!H28</f>
        <v>0</v>
      </c>
      <c r="AD62" t="s">
        <v>596</v>
      </c>
      <c r="AE62">
        <f>COUNTIFS(AB2:AB43,AD62,AE2:AE43,AE50)</f>
        <v>0</v>
      </c>
      <c r="AF62">
        <f>COUNTIFS(AB2:AB43,AD62,AE2:AE43,AF50)</f>
        <v>0</v>
      </c>
      <c r="AG62">
        <f>COUNTIFS(AB2:AB43,AD62,AE2:AE43,AG50)</f>
        <v>0</v>
      </c>
      <c r="AH62">
        <f>COUNTIFS(AB2:AB43,AD62,AE2:AE43,AH50)</f>
        <v>0</v>
      </c>
      <c r="AI62">
        <f>(AE62 * 10000) + (AF62 * 1000) + (AG62 * 100) + (AH62 * 10)</f>
        <v>0</v>
      </c>
      <c r="AJ62">
        <f>COUNTIF(AI51:AI64,"&lt;"&amp;AI62)</f>
        <v>0</v>
      </c>
      <c r="AK62">
        <f>COUNTIF(AJ51:AJ62,"="&amp;AJ62)</f>
        <v>0</v>
      </c>
      <c r="AL62">
        <f>AJ62 + AK62</f>
        <v>0</v>
      </c>
    </row>
    <row r="63" spans="1:54">
      <c r="A63" t="s">
        <v>536</v>
      </c>
      <c r="B63" t="s">
        <v>652</v>
      </c>
      <c r="C63">
        <f>'AC'!A127</f>
        <v>0</v>
      </c>
      <c r="D63">
        <f>'AC'!H127</f>
        <v>0</v>
      </c>
      <c r="O63" t="s">
        <v>561</v>
      </c>
      <c r="P63" t="s">
        <v>695</v>
      </c>
      <c r="Q63">
        <f>'MA'!A33</f>
        <v>0</v>
      </c>
      <c r="R63">
        <f>'MA'!H33</f>
        <v>0</v>
      </c>
      <c r="AD63" t="s">
        <v>600</v>
      </c>
      <c r="AE63">
        <f>COUNTIFS(AB2:AB43,AD63,AE2:AE43,AE50)</f>
        <v>0</v>
      </c>
      <c r="AF63">
        <f>COUNTIFS(AB2:AB43,AD63,AE2:AE43,AF50)</f>
        <v>0</v>
      </c>
      <c r="AG63">
        <f>COUNTIFS(AB2:AB43,AD63,AE2:AE43,AG50)</f>
        <v>0</v>
      </c>
      <c r="AH63">
        <f>COUNTIFS(AB2:AB43,AD63,AE2:AE43,AH50)</f>
        <v>0</v>
      </c>
      <c r="AI63">
        <f>(AE63 * 10000) + (AF63 * 1000) + (AG63 * 100) + (AH63 * 10)</f>
        <v>0</v>
      </c>
      <c r="AJ63">
        <f>COUNTIF(AI51:AI64,"&lt;"&amp;AI63)</f>
        <v>0</v>
      </c>
      <c r="AK63">
        <f>COUNTIF(AJ51:AJ63,"="&amp;AJ63)</f>
        <v>0</v>
      </c>
      <c r="AL63">
        <f>AJ63 + AK63</f>
        <v>0</v>
      </c>
    </row>
    <row r="64" spans="1:54">
      <c r="A64" t="s">
        <v>536</v>
      </c>
      <c r="B64" t="s">
        <v>653</v>
      </c>
      <c r="C64">
        <f>'AC'!A131</f>
        <v>0</v>
      </c>
      <c r="D64">
        <f>'AC'!H131</f>
        <v>0</v>
      </c>
      <c r="O64" t="s">
        <v>561</v>
      </c>
      <c r="P64" t="s">
        <v>696</v>
      </c>
      <c r="Q64">
        <f>'MA'!A37</f>
        <v>0</v>
      </c>
      <c r="R64">
        <f>'MA'!H37</f>
        <v>0</v>
      </c>
      <c r="AD64" t="s">
        <v>602</v>
      </c>
      <c r="AE64">
        <f>COUNTIFS(AB2:AB43,AD64,AE2:AE43,AE50)</f>
        <v>0</v>
      </c>
      <c r="AF64">
        <f>COUNTIFS(AB2:AB43,AD64,AE2:AE43,AF50)</f>
        <v>0</v>
      </c>
      <c r="AG64">
        <f>COUNTIFS(AB2:AB43,AD64,AE2:AE43,AG50)</f>
        <v>0</v>
      </c>
      <c r="AH64">
        <f>COUNTIFS(AB2:AB43,AD64,AE2:AE43,AH50)</f>
        <v>0</v>
      </c>
      <c r="AI64">
        <f>(AE64 * 10000) + (AF64 * 1000) + (AG64 * 100) + (AH64 * 10)</f>
        <v>0</v>
      </c>
      <c r="AJ64">
        <f>COUNTIF(AI51:AI64,"&lt;"&amp;AI64)</f>
        <v>0</v>
      </c>
      <c r="AK64">
        <f>COUNTIF(AJ51:AJ64,"="&amp;AJ64)</f>
        <v>0</v>
      </c>
      <c r="AL64">
        <f>AJ64 + AK64</f>
        <v>0</v>
      </c>
      <c r="AW64">
        <f>"{" &amp; char(34)&amp;AW59&amp;char(34)&amp;": {"&amp;BB59&amp;"}" &amp;", "  &amp; char(34)&amp;AW60&amp;char(34)&amp;": {"&amp;BB60&amp;"}" &amp;", "  &amp; char(34)&amp;AW61&amp;char(34)&amp;": {"&amp;BB61&amp;"}"  &amp; "}"</f>
        <v>0</v>
      </c>
    </row>
    <row r="65" spans="1:40">
      <c r="A65" t="s">
        <v>536</v>
      </c>
      <c r="B65" t="s">
        <v>653</v>
      </c>
      <c r="C65">
        <f>'AC'!A132</f>
        <v>0</v>
      </c>
      <c r="D65">
        <f>'AC'!H132</f>
        <v>0</v>
      </c>
      <c r="O65" t="s">
        <v>563</v>
      </c>
      <c r="P65" t="s">
        <v>697</v>
      </c>
      <c r="Q65">
        <f>'MP'!A14</f>
        <v>0</v>
      </c>
      <c r="R65">
        <f>'MP'!H14</f>
        <v>0</v>
      </c>
    </row>
    <row r="66" spans="1:40">
      <c r="A66" t="s">
        <v>536</v>
      </c>
      <c r="B66" t="s">
        <v>653</v>
      </c>
      <c r="C66">
        <f>'AC'!A133</f>
        <v>0</v>
      </c>
      <c r="D66">
        <f>'AC'!H133</f>
        <v>0</v>
      </c>
      <c r="O66" t="s">
        <v>563</v>
      </c>
      <c r="P66" t="s">
        <v>698</v>
      </c>
      <c r="Q66">
        <f>'MP'!A21</f>
        <v>0</v>
      </c>
      <c r="R66">
        <f>'MP'!H21</f>
        <v>0</v>
      </c>
    </row>
    <row r="67" spans="1:40">
      <c r="A67" t="s">
        <v>536</v>
      </c>
      <c r="B67" t="s">
        <v>653</v>
      </c>
      <c r="C67">
        <f>'AC'!A134</f>
        <v>0</v>
      </c>
      <c r="D67">
        <f>'AC'!H134</f>
        <v>0</v>
      </c>
      <c r="O67" t="s">
        <v>563</v>
      </c>
      <c r="P67" t="s">
        <v>699</v>
      </c>
      <c r="Q67">
        <f>'MP'!A25</f>
        <v>0</v>
      </c>
      <c r="R67">
        <f>'MP'!H25</f>
        <v>0</v>
      </c>
    </row>
    <row r="68" spans="1:40">
      <c r="A68" t="s">
        <v>536</v>
      </c>
      <c r="B68" t="s">
        <v>654</v>
      </c>
      <c r="C68">
        <f>'AC'!A138</f>
        <v>0</v>
      </c>
      <c r="D68">
        <f>'AC'!H138</f>
        <v>0</v>
      </c>
      <c r="O68" t="s">
        <v>563</v>
      </c>
      <c r="P68" t="s">
        <v>700</v>
      </c>
      <c r="Q68">
        <f>'MP'!A30</f>
        <v>0</v>
      </c>
      <c r="R68">
        <f>'MP'!H30</f>
        <v>0</v>
      </c>
      <c r="AB68" t="s">
        <v>628</v>
      </c>
    </row>
    <row r="69" spans="1:40">
      <c r="A69" t="s">
        <v>536</v>
      </c>
      <c r="B69" t="s">
        <v>654</v>
      </c>
      <c r="C69">
        <f>'AC'!A139</f>
        <v>0</v>
      </c>
      <c r="D69">
        <f>'AC'!H139</f>
        <v>0</v>
      </c>
      <c r="O69" t="s">
        <v>563</v>
      </c>
      <c r="P69" t="s">
        <v>701</v>
      </c>
      <c r="Q69">
        <f>'MP'!A35</f>
        <v>0</v>
      </c>
      <c r="R69">
        <f>'MP'!H35</f>
        <v>0</v>
      </c>
      <c r="AB69" t="s">
        <v>629</v>
      </c>
      <c r="AC69" t="s">
        <v>630</v>
      </c>
      <c r="AE69" t="s">
        <v>52</v>
      </c>
      <c r="AF69" t="s">
        <v>53</v>
      </c>
      <c r="AG69" t="s">
        <v>54</v>
      </c>
      <c r="AH69" t="s">
        <v>51</v>
      </c>
      <c r="AI69" t="s">
        <v>631</v>
      </c>
      <c r="AJ69">
        <f>VLOOKUP("Completed",DATA_SUPPORT!$D$2:$E$51,2)</f>
        <v>0</v>
      </c>
      <c r="AK69">
        <f>VLOOKUP("Partially Completed",DATA_SUPPORT!$D$2:$E$51,2)</f>
        <v>0</v>
      </c>
      <c r="AL69">
        <f>VLOOKUP("Not Yet Started",DATA_SUPPORT!$D$2:$E$51,2)</f>
        <v>0</v>
      </c>
      <c r="AM69">
        <f>VLOOKUP("No Answer",DATA_SUPPORT!$D$2:$E$51,2)</f>
        <v>0</v>
      </c>
      <c r="AN69" t="s">
        <v>632</v>
      </c>
    </row>
    <row r="70" spans="1:40">
      <c r="A70" t="s">
        <v>536</v>
      </c>
      <c r="B70" t="s">
        <v>655</v>
      </c>
      <c r="C70">
        <f>'AC'!A143</f>
        <v>0</v>
      </c>
      <c r="D70">
        <f>'AC'!H143</f>
        <v>0</v>
      </c>
      <c r="O70" t="s">
        <v>563</v>
      </c>
      <c r="P70" t="s">
        <v>702</v>
      </c>
      <c r="Q70">
        <f>'MP'!A39</f>
        <v>0</v>
      </c>
      <c r="R70">
        <f>'MP'!H39</f>
        <v>0</v>
      </c>
      <c r="AB70">
        <f>1</f>
        <v>0</v>
      </c>
      <c r="AC70">
        <f>MATCH(AB70, AL51:AL64, 0)</f>
        <v>0</v>
      </c>
      <c r="AD70">
        <f>INDEX(AD51:AD64, AC70, 1)</f>
        <v>0</v>
      </c>
      <c r="AE70">
        <f>INDEX(AE51:AE64, AC70, 1)</f>
        <v>0</v>
      </c>
      <c r="AF70">
        <f>INDEX(AF51:AF64, AC70, 1)</f>
        <v>0</v>
      </c>
      <c r="AG70">
        <f>INDEX(AG51:AG64, AC70, 1)</f>
        <v>0</v>
      </c>
      <c r="AH70">
        <f>INDEX(AH51:AH64, AC70, 1)</f>
        <v>0</v>
      </c>
      <c r="AI70">
        <f>VLOOKUP(AD70,DATA_SUPPORT!$D$2:$E$51,2)</f>
        <v>0</v>
      </c>
      <c r="AJ70">
        <f>AE70*DATA_SUPPORT!$G$5</f>
        <v>0</v>
      </c>
      <c r="AK70">
        <f>AF70*DATA_SUPPORT!$G$5</f>
        <v>0</v>
      </c>
      <c r="AL70">
        <f>AG70*DATA_SUPPORT!$G$5</f>
        <v>0</v>
      </c>
      <c r="AM70">
        <f>AH70*DATA_SUPPORT!$G$5</f>
        <v>0</v>
      </c>
      <c r="AN70">
        <f>CHAR(34) &amp; AJ69 &amp; CHAR(34) &amp; ":" &amp; AJ70 &amp; ", " &amp; CHAR(34) &amp; AK69 &amp; CHAR(34) &amp; ":" &amp; AK70 &amp; ", " &amp; CHAR(34) &amp; AL69 &amp; CHAR(34) &amp; ":" &amp; AL70 &amp; ", " &amp; CHAR(34) &amp; AM69 &amp; CHAR(34) &amp; ":" &amp; AM70</f>
        <v>0</v>
      </c>
    </row>
    <row r="71" spans="1:40">
      <c r="A71" t="s">
        <v>536</v>
      </c>
      <c r="B71" t="s">
        <v>655</v>
      </c>
      <c r="C71">
        <f>'AC'!A144</f>
        <v>0</v>
      </c>
      <c r="D71">
        <f>'AC'!H144</f>
        <v>0</v>
      </c>
      <c r="O71" t="s">
        <v>563</v>
      </c>
      <c r="P71" t="s">
        <v>703</v>
      </c>
      <c r="Q71">
        <f>'MP'!A43</f>
        <v>0</v>
      </c>
      <c r="R71">
        <f>'MP'!H43</f>
        <v>0</v>
      </c>
      <c r="AB71">
        <f>2</f>
        <v>0</v>
      </c>
      <c r="AC71">
        <f>MATCH(AB71, AL51:AL64, 0)</f>
        <v>0</v>
      </c>
      <c r="AD71">
        <f>INDEX(AD51:AD64, AC71, 1)</f>
        <v>0</v>
      </c>
      <c r="AE71">
        <f>INDEX(AE51:AE64, AC71, 1)</f>
        <v>0</v>
      </c>
      <c r="AF71">
        <f>INDEX(AF51:AF64, AC71, 1)</f>
        <v>0</v>
      </c>
      <c r="AG71">
        <f>INDEX(AG51:AG64, AC71, 1)</f>
        <v>0</v>
      </c>
      <c r="AH71">
        <f>INDEX(AH51:AH64, AC71, 1)</f>
        <v>0</v>
      </c>
      <c r="AI71">
        <f>VLOOKUP(AD71,DATA_SUPPORT!$D$2:$E$51,2)</f>
        <v>0</v>
      </c>
      <c r="AJ71">
        <f>AE71*DATA_SUPPORT!$G$5</f>
        <v>0</v>
      </c>
      <c r="AK71">
        <f>AF71*DATA_SUPPORT!$G$5</f>
        <v>0</v>
      </c>
      <c r="AL71">
        <f>AG71*DATA_SUPPORT!$G$5</f>
        <v>0</v>
      </c>
      <c r="AM71">
        <f>AH71*DATA_SUPPORT!$G$5</f>
        <v>0</v>
      </c>
      <c r="AN71">
        <f>CHAR(34) &amp; AJ69 &amp; CHAR(34) &amp; ":" &amp; AJ71 &amp; ", " &amp; CHAR(34) &amp; AK69 &amp; CHAR(34) &amp; ":" &amp; AK71 &amp; ", " &amp; CHAR(34) &amp; AL69 &amp; CHAR(34) &amp; ":" &amp; AL71 &amp; ", " &amp; CHAR(34) &amp; AM69 &amp; CHAR(34) &amp; ":" &amp; AM71</f>
        <v>0</v>
      </c>
    </row>
    <row r="72" spans="1:40">
      <c r="A72" t="s">
        <v>540</v>
      </c>
      <c r="B72" t="s">
        <v>656</v>
      </c>
      <c r="C72">
        <f>'AU'!A12</f>
        <v>0</v>
      </c>
      <c r="D72">
        <f>'AU'!H12</f>
        <v>0</v>
      </c>
      <c r="O72" t="s">
        <v>563</v>
      </c>
      <c r="P72" t="s">
        <v>704</v>
      </c>
      <c r="Q72">
        <f>'MP'!A47</f>
        <v>0</v>
      </c>
      <c r="R72">
        <f>'MP'!H47</f>
        <v>0</v>
      </c>
      <c r="AB72">
        <f>3</f>
        <v>0</v>
      </c>
      <c r="AC72">
        <f>MATCH(AB72, AL51:AL64, 0)</f>
        <v>0</v>
      </c>
      <c r="AD72">
        <f>INDEX(AD51:AD64, AC72, 1)</f>
        <v>0</v>
      </c>
      <c r="AE72">
        <f>INDEX(AE51:AE64, AC72, 1)</f>
        <v>0</v>
      </c>
      <c r="AF72">
        <f>INDEX(AF51:AF64, AC72, 1)</f>
        <v>0</v>
      </c>
      <c r="AG72">
        <f>INDEX(AG51:AG64, AC72, 1)</f>
        <v>0</v>
      </c>
      <c r="AH72">
        <f>INDEX(AH51:AH64, AC72, 1)</f>
        <v>0</v>
      </c>
      <c r="AI72">
        <f>VLOOKUP(AD72,DATA_SUPPORT!$D$2:$E$51,2)</f>
        <v>0</v>
      </c>
      <c r="AJ72">
        <f>AE72*DATA_SUPPORT!$G$5</f>
        <v>0</v>
      </c>
      <c r="AK72">
        <f>AF72*DATA_SUPPORT!$G$5</f>
        <v>0</v>
      </c>
      <c r="AL72">
        <f>AG72*DATA_SUPPORT!$G$5</f>
        <v>0</v>
      </c>
      <c r="AM72">
        <f>AH72*DATA_SUPPORT!$G$5</f>
        <v>0</v>
      </c>
      <c r="AN72">
        <f>CHAR(34) &amp; AJ69 &amp; CHAR(34) &amp; ":" &amp; AJ72 &amp; ", " &amp; CHAR(34) &amp; AK69 &amp; CHAR(34) &amp; ":" &amp; AK72 &amp; ", " &amp; CHAR(34) &amp; AL69 &amp; CHAR(34) &amp; ":" &amp; AL72 &amp; ", " &amp; CHAR(34) &amp; AM69 &amp; CHAR(34) &amp; ":" &amp; AM72</f>
        <v>0</v>
      </c>
    </row>
    <row r="73" spans="1:40">
      <c r="A73" t="s">
        <v>540</v>
      </c>
      <c r="B73" t="s">
        <v>656</v>
      </c>
      <c r="C73">
        <f>'AU'!A13</f>
        <v>0</v>
      </c>
      <c r="D73">
        <f>'AU'!H13</f>
        <v>0</v>
      </c>
      <c r="O73" t="s">
        <v>563</v>
      </c>
      <c r="P73" t="s">
        <v>705</v>
      </c>
      <c r="Q73">
        <f>'MP'!A51</f>
        <v>0</v>
      </c>
      <c r="R73">
        <f>'MP'!H51</f>
        <v>0</v>
      </c>
      <c r="AB73">
        <f>4</f>
        <v>0</v>
      </c>
      <c r="AC73">
        <f>MATCH(AB73, AL51:AL64, 0)</f>
        <v>0</v>
      </c>
      <c r="AD73">
        <f>INDEX(AD51:AD64, AC73, 1)</f>
        <v>0</v>
      </c>
      <c r="AE73">
        <f>INDEX(AE51:AE64, AC73, 1)</f>
        <v>0</v>
      </c>
      <c r="AF73">
        <f>INDEX(AF51:AF64, AC73, 1)</f>
        <v>0</v>
      </c>
      <c r="AG73">
        <f>INDEX(AG51:AG64, AC73, 1)</f>
        <v>0</v>
      </c>
      <c r="AH73">
        <f>INDEX(AH51:AH64, AC73, 1)</f>
        <v>0</v>
      </c>
      <c r="AI73">
        <f>VLOOKUP(AD73,DATA_SUPPORT!$D$2:$E$51,2)</f>
        <v>0</v>
      </c>
      <c r="AJ73">
        <f>AE73*DATA_SUPPORT!$G$5</f>
        <v>0</v>
      </c>
      <c r="AK73">
        <f>AF73*DATA_SUPPORT!$G$5</f>
        <v>0</v>
      </c>
      <c r="AL73">
        <f>AG73*DATA_SUPPORT!$G$5</f>
        <v>0</v>
      </c>
      <c r="AM73">
        <f>AH73*DATA_SUPPORT!$G$5</f>
        <v>0</v>
      </c>
      <c r="AN73">
        <f>CHAR(34) &amp; AJ69 &amp; CHAR(34) &amp; ":" &amp; AJ73 &amp; ", " &amp; CHAR(34) &amp; AK69 &amp; CHAR(34) &amp; ":" &amp; AK73 &amp; ", " &amp; CHAR(34) &amp; AL69 &amp; CHAR(34) &amp; ":" &amp; AL73 &amp; ", " &amp; CHAR(34) &amp; AM69 &amp; CHAR(34) &amp; ":" &amp; AM73</f>
        <v>0</v>
      </c>
    </row>
    <row r="74" spans="1:40">
      <c r="A74" t="s">
        <v>540</v>
      </c>
      <c r="B74" t="s">
        <v>656</v>
      </c>
      <c r="C74">
        <f>'AU'!A14</f>
        <v>0</v>
      </c>
      <c r="D74">
        <f>'AU'!H14</f>
        <v>0</v>
      </c>
      <c r="O74" t="s">
        <v>574</v>
      </c>
      <c r="P74" t="s">
        <v>706</v>
      </c>
      <c r="Q74">
        <f>'PS'!A13</f>
        <v>0</v>
      </c>
      <c r="R74">
        <f>'PS'!H13</f>
        <v>0</v>
      </c>
      <c r="AB74">
        <f>5</f>
        <v>0</v>
      </c>
      <c r="AC74">
        <f>MATCH(AB74, AL51:AL64, 0)</f>
        <v>0</v>
      </c>
      <c r="AD74">
        <f>INDEX(AD51:AD64, AC74, 1)</f>
        <v>0</v>
      </c>
      <c r="AE74">
        <f>INDEX(AE51:AE64, AC74, 1)</f>
        <v>0</v>
      </c>
      <c r="AF74">
        <f>INDEX(AF51:AF64, AC74, 1)</f>
        <v>0</v>
      </c>
      <c r="AG74">
        <f>INDEX(AG51:AG64, AC74, 1)</f>
        <v>0</v>
      </c>
      <c r="AH74">
        <f>INDEX(AH51:AH64, AC74, 1)</f>
        <v>0</v>
      </c>
      <c r="AI74">
        <f>VLOOKUP(AD74,DATA_SUPPORT!$D$2:$E$51,2)</f>
        <v>0</v>
      </c>
      <c r="AJ74">
        <f>AE74*DATA_SUPPORT!$G$5</f>
        <v>0</v>
      </c>
      <c r="AK74">
        <f>AF74*DATA_SUPPORT!$G$5</f>
        <v>0</v>
      </c>
      <c r="AL74">
        <f>AG74*DATA_SUPPORT!$G$5</f>
        <v>0</v>
      </c>
      <c r="AM74">
        <f>AH74*DATA_SUPPORT!$G$5</f>
        <v>0</v>
      </c>
      <c r="AN74">
        <f>CHAR(34) &amp; AJ69 &amp; CHAR(34) &amp; ":" &amp; AJ74 &amp; ", " &amp; CHAR(34) &amp; AK69 &amp; CHAR(34) &amp; ":" &amp; AK74 &amp; ", " &amp; CHAR(34) &amp; AL69 &amp; CHAR(34) &amp; ":" &amp; AL74 &amp; ", " &amp; CHAR(34) &amp; AM69 &amp; CHAR(34) &amp; ":" &amp; AM74</f>
        <v>0</v>
      </c>
    </row>
    <row r="75" spans="1:40">
      <c r="A75" t="s">
        <v>540</v>
      </c>
      <c r="B75" t="s">
        <v>656</v>
      </c>
      <c r="C75">
        <f>'AU'!A15</f>
        <v>0</v>
      </c>
      <c r="D75">
        <f>'AU'!H15</f>
        <v>0</v>
      </c>
      <c r="O75" t="s">
        <v>574</v>
      </c>
      <c r="P75" t="s">
        <v>707</v>
      </c>
      <c r="Q75">
        <f>'PS'!A19</f>
        <v>0</v>
      </c>
      <c r="R75">
        <f>'PS'!H19</f>
        <v>0</v>
      </c>
      <c r="AB75">
        <f>6</f>
        <v>0</v>
      </c>
      <c r="AC75">
        <f>MATCH(AB75, AL51:AL64, 0)</f>
        <v>0</v>
      </c>
      <c r="AD75">
        <f>INDEX(AD51:AD64, AC75, 1)</f>
        <v>0</v>
      </c>
      <c r="AE75">
        <f>INDEX(AE51:AE64, AC75, 1)</f>
        <v>0</v>
      </c>
      <c r="AF75">
        <f>INDEX(AF51:AF64, AC75, 1)</f>
        <v>0</v>
      </c>
      <c r="AG75">
        <f>INDEX(AG51:AG64, AC75, 1)</f>
        <v>0</v>
      </c>
      <c r="AH75">
        <f>INDEX(AH51:AH64, AC75, 1)</f>
        <v>0</v>
      </c>
      <c r="AI75">
        <f>VLOOKUP(AD75,DATA_SUPPORT!$D$2:$E$51,2)</f>
        <v>0</v>
      </c>
      <c r="AJ75">
        <f>AE75*DATA_SUPPORT!$G$5</f>
        <v>0</v>
      </c>
      <c r="AK75">
        <f>AF75*DATA_SUPPORT!$G$5</f>
        <v>0</v>
      </c>
      <c r="AL75">
        <f>AG75*DATA_SUPPORT!$G$5</f>
        <v>0</v>
      </c>
      <c r="AM75">
        <f>AH75*DATA_SUPPORT!$G$5</f>
        <v>0</v>
      </c>
      <c r="AN75">
        <f>CHAR(34) &amp; AJ69 &amp; CHAR(34) &amp; ":" &amp; AJ75 &amp; ", " &amp; CHAR(34) &amp; AK69 &amp; CHAR(34) &amp; ":" &amp; AK75 &amp; ", " &amp; CHAR(34) &amp; AL69 &amp; CHAR(34) &amp; ":" &amp; AL75 &amp; ", " &amp; CHAR(34) &amp; AM69 &amp; CHAR(34) &amp; ":" &amp; AM75</f>
        <v>0</v>
      </c>
    </row>
    <row r="76" spans="1:40">
      <c r="A76" t="s">
        <v>540</v>
      </c>
      <c r="B76" t="s">
        <v>656</v>
      </c>
      <c r="C76">
        <f>'AU'!A16</f>
        <v>0</v>
      </c>
      <c r="D76">
        <f>'AU'!H16</f>
        <v>0</v>
      </c>
      <c r="O76" t="s">
        <v>576</v>
      </c>
      <c r="P76" t="s">
        <v>708</v>
      </c>
      <c r="Q76">
        <f>'PE'!A16</f>
        <v>0</v>
      </c>
      <c r="R76">
        <f>'PE'!H16</f>
        <v>0</v>
      </c>
      <c r="AB76">
        <f>7</f>
        <v>0</v>
      </c>
      <c r="AC76">
        <f>MATCH(AB76, AL51:AL64, 0)</f>
        <v>0</v>
      </c>
      <c r="AD76">
        <f>INDEX(AD51:AD64, AC76, 1)</f>
        <v>0</v>
      </c>
      <c r="AE76">
        <f>INDEX(AE51:AE64, AC76, 1)</f>
        <v>0</v>
      </c>
      <c r="AF76">
        <f>INDEX(AF51:AF64, AC76, 1)</f>
        <v>0</v>
      </c>
      <c r="AG76">
        <f>INDEX(AG51:AG64, AC76, 1)</f>
        <v>0</v>
      </c>
      <c r="AH76">
        <f>INDEX(AH51:AH64, AC76, 1)</f>
        <v>0</v>
      </c>
      <c r="AI76">
        <f>VLOOKUP(AD76,DATA_SUPPORT!$D$2:$E$51,2)</f>
        <v>0</v>
      </c>
      <c r="AJ76">
        <f>AE76*DATA_SUPPORT!$G$5</f>
        <v>0</v>
      </c>
      <c r="AK76">
        <f>AF76*DATA_SUPPORT!$G$5</f>
        <v>0</v>
      </c>
      <c r="AL76">
        <f>AG76*DATA_SUPPORT!$G$5</f>
        <v>0</v>
      </c>
      <c r="AM76">
        <f>AH76*DATA_SUPPORT!$G$5</f>
        <v>0</v>
      </c>
      <c r="AN76">
        <f>CHAR(34) &amp; AJ69 &amp; CHAR(34) &amp; ":" &amp; AJ76 &amp; ", " &amp; CHAR(34) &amp; AK69 &amp; CHAR(34) &amp; ":" &amp; AK76 &amp; ", " &amp; CHAR(34) &amp; AL69 &amp; CHAR(34) &amp; ":" &amp; AL76 &amp; ", " &amp; CHAR(34) &amp; AM69 &amp; CHAR(34) &amp; ":" &amp; AM76</f>
        <v>0</v>
      </c>
    </row>
    <row r="77" spans="1:40">
      <c r="A77" t="s">
        <v>540</v>
      </c>
      <c r="B77" t="s">
        <v>656</v>
      </c>
      <c r="C77">
        <f>'AU'!A17</f>
        <v>0</v>
      </c>
      <c r="D77">
        <f>'AU'!H17</f>
        <v>0</v>
      </c>
      <c r="O77" t="s">
        <v>576</v>
      </c>
      <c r="P77" t="s">
        <v>709</v>
      </c>
      <c r="Q77">
        <f>'PE'!A21</f>
        <v>0</v>
      </c>
      <c r="R77">
        <f>'PE'!H21</f>
        <v>0</v>
      </c>
      <c r="AB77">
        <f>8</f>
        <v>0</v>
      </c>
      <c r="AC77">
        <f>MATCH(AB77, AL51:AL64, 0)</f>
        <v>0</v>
      </c>
      <c r="AD77">
        <f>INDEX(AD51:AD64, AC77, 1)</f>
        <v>0</v>
      </c>
      <c r="AE77">
        <f>INDEX(AE51:AE64, AC77, 1)</f>
        <v>0</v>
      </c>
      <c r="AF77">
        <f>INDEX(AF51:AF64, AC77, 1)</f>
        <v>0</v>
      </c>
      <c r="AG77">
        <f>INDEX(AG51:AG64, AC77, 1)</f>
        <v>0</v>
      </c>
      <c r="AH77">
        <f>INDEX(AH51:AH64, AC77, 1)</f>
        <v>0</v>
      </c>
      <c r="AI77">
        <f>VLOOKUP(AD77,DATA_SUPPORT!$D$2:$E$51,2)</f>
        <v>0</v>
      </c>
      <c r="AJ77">
        <f>AE77*DATA_SUPPORT!$G$5</f>
        <v>0</v>
      </c>
      <c r="AK77">
        <f>AF77*DATA_SUPPORT!$G$5</f>
        <v>0</v>
      </c>
      <c r="AL77">
        <f>AG77*DATA_SUPPORT!$G$5</f>
        <v>0</v>
      </c>
      <c r="AM77">
        <f>AH77*DATA_SUPPORT!$G$5</f>
        <v>0</v>
      </c>
      <c r="AN77">
        <f>CHAR(34) &amp; AJ69 &amp; CHAR(34) &amp; ":" &amp; AJ77 &amp; ", " &amp; CHAR(34) &amp; AK69 &amp; CHAR(34) &amp; ":" &amp; AK77 &amp; ", " &amp; CHAR(34) &amp; AL69 &amp; CHAR(34) &amp; ":" &amp; AL77 &amp; ", " &amp; CHAR(34) &amp; AM69 &amp; CHAR(34) &amp; ":" &amp; AM77</f>
        <v>0</v>
      </c>
    </row>
    <row r="78" spans="1:40">
      <c r="A78" t="s">
        <v>540</v>
      </c>
      <c r="B78" t="s">
        <v>657</v>
      </c>
      <c r="C78">
        <f>'AU'!A21</f>
        <v>0</v>
      </c>
      <c r="D78">
        <f>'AU'!H21</f>
        <v>0</v>
      </c>
      <c r="O78" t="s">
        <v>576</v>
      </c>
      <c r="P78" t="s">
        <v>710</v>
      </c>
      <c r="Q78">
        <f>'PE'!A25</f>
        <v>0</v>
      </c>
      <c r="R78">
        <f>'PE'!H25</f>
        <v>0</v>
      </c>
      <c r="AB78">
        <f>9</f>
        <v>0</v>
      </c>
      <c r="AC78">
        <f>MATCH(AB78, AL51:AL64, 0)</f>
        <v>0</v>
      </c>
      <c r="AD78">
        <f>INDEX(AD51:AD64, AC78, 1)</f>
        <v>0</v>
      </c>
      <c r="AE78">
        <f>INDEX(AE51:AE64, AC78, 1)</f>
        <v>0</v>
      </c>
      <c r="AF78">
        <f>INDEX(AF51:AF64, AC78, 1)</f>
        <v>0</v>
      </c>
      <c r="AG78">
        <f>INDEX(AG51:AG64, AC78, 1)</f>
        <v>0</v>
      </c>
      <c r="AH78">
        <f>INDEX(AH51:AH64, AC78, 1)</f>
        <v>0</v>
      </c>
      <c r="AI78">
        <f>VLOOKUP(AD78,DATA_SUPPORT!$D$2:$E$51,2)</f>
        <v>0</v>
      </c>
      <c r="AJ78">
        <f>AE78*DATA_SUPPORT!$G$5</f>
        <v>0</v>
      </c>
      <c r="AK78">
        <f>AF78*DATA_SUPPORT!$G$5</f>
        <v>0</v>
      </c>
      <c r="AL78">
        <f>AG78*DATA_SUPPORT!$G$5</f>
        <v>0</v>
      </c>
      <c r="AM78">
        <f>AH78*DATA_SUPPORT!$G$5</f>
        <v>0</v>
      </c>
      <c r="AN78">
        <f>CHAR(34) &amp; AJ69 &amp; CHAR(34) &amp; ":" &amp; AJ78 &amp; ", " &amp; CHAR(34) &amp; AK69 &amp; CHAR(34) &amp; ":" &amp; AK78 &amp; ", " &amp; CHAR(34) &amp; AL69 &amp; CHAR(34) &amp; ":" &amp; AL78 &amp; ", " &amp; CHAR(34) &amp; AM69 &amp; CHAR(34) &amp; ":" &amp; AM78</f>
        <v>0</v>
      </c>
    </row>
    <row r="79" spans="1:40">
      <c r="A79" t="s">
        <v>540</v>
      </c>
      <c r="B79" t="s">
        <v>657</v>
      </c>
      <c r="C79">
        <f>'AU'!A22</f>
        <v>0</v>
      </c>
      <c r="D79">
        <f>'AU'!H22</f>
        <v>0</v>
      </c>
      <c r="O79" t="s">
        <v>576</v>
      </c>
      <c r="P79" t="s">
        <v>711</v>
      </c>
      <c r="Q79">
        <f>'PE'!A31</f>
        <v>0</v>
      </c>
      <c r="R79">
        <f>'PE'!H31</f>
        <v>0</v>
      </c>
      <c r="AB79">
        <f>10</f>
        <v>0</v>
      </c>
      <c r="AC79">
        <f>MATCH(AB79, AL51:AL64, 0)</f>
        <v>0</v>
      </c>
      <c r="AD79">
        <f>INDEX(AD51:AD64, AC79, 1)</f>
        <v>0</v>
      </c>
      <c r="AE79">
        <f>INDEX(AE51:AE64, AC79, 1)</f>
        <v>0</v>
      </c>
      <c r="AF79">
        <f>INDEX(AF51:AF64, AC79, 1)</f>
        <v>0</v>
      </c>
      <c r="AG79">
        <f>INDEX(AG51:AG64, AC79, 1)</f>
        <v>0</v>
      </c>
      <c r="AH79">
        <f>INDEX(AH51:AH64, AC79, 1)</f>
        <v>0</v>
      </c>
      <c r="AI79">
        <f>VLOOKUP(AD79,DATA_SUPPORT!$D$2:$E$51,2)</f>
        <v>0</v>
      </c>
      <c r="AJ79">
        <f>AE79*DATA_SUPPORT!$G$5</f>
        <v>0</v>
      </c>
      <c r="AK79">
        <f>AF79*DATA_SUPPORT!$G$5</f>
        <v>0</v>
      </c>
      <c r="AL79">
        <f>AG79*DATA_SUPPORT!$G$5</f>
        <v>0</v>
      </c>
      <c r="AM79">
        <f>AH79*DATA_SUPPORT!$G$5</f>
        <v>0</v>
      </c>
      <c r="AN79">
        <f>CHAR(34) &amp; AJ69 &amp; CHAR(34) &amp; ":" &amp; AJ79 &amp; ", " &amp; CHAR(34) &amp; AK69 &amp; CHAR(34) &amp; ":" &amp; AK79 &amp; ", " &amp; CHAR(34) &amp; AL69 &amp; CHAR(34) &amp; ":" &amp; AL79 &amp; ", " &amp; CHAR(34) &amp; AM69 &amp; CHAR(34) &amp; ":" &amp; AM79</f>
        <v>0</v>
      </c>
    </row>
    <row r="80" spans="1:40">
      <c r="A80" t="s">
        <v>540</v>
      </c>
      <c r="B80" t="s">
        <v>658</v>
      </c>
      <c r="C80">
        <f>'AU'!A26</f>
        <v>0</v>
      </c>
      <c r="D80">
        <f>'AU'!H26</f>
        <v>0</v>
      </c>
      <c r="O80" t="s">
        <v>576</v>
      </c>
      <c r="P80" t="s">
        <v>712</v>
      </c>
      <c r="Q80">
        <f>'PE'!A38</f>
        <v>0</v>
      </c>
      <c r="R80">
        <f>'PE'!H38</f>
        <v>0</v>
      </c>
      <c r="AB80">
        <f>11</f>
        <v>0</v>
      </c>
      <c r="AC80">
        <f>MATCH(AB80, AL51:AL64, 0)</f>
        <v>0</v>
      </c>
      <c r="AD80">
        <f>INDEX(AD51:AD64, AC80, 1)</f>
        <v>0</v>
      </c>
      <c r="AE80">
        <f>INDEX(AE51:AE64, AC80, 1)</f>
        <v>0</v>
      </c>
      <c r="AF80">
        <f>INDEX(AF51:AF64, AC80, 1)</f>
        <v>0</v>
      </c>
      <c r="AG80">
        <f>INDEX(AG51:AG64, AC80, 1)</f>
        <v>0</v>
      </c>
      <c r="AH80">
        <f>INDEX(AH51:AH64, AC80, 1)</f>
        <v>0</v>
      </c>
      <c r="AI80">
        <f>VLOOKUP(AD80,DATA_SUPPORT!$D$2:$E$51,2)</f>
        <v>0</v>
      </c>
      <c r="AJ80">
        <f>AE80*DATA_SUPPORT!$G$5</f>
        <v>0</v>
      </c>
      <c r="AK80">
        <f>AF80*DATA_SUPPORT!$G$5</f>
        <v>0</v>
      </c>
      <c r="AL80">
        <f>AG80*DATA_SUPPORT!$G$5</f>
        <v>0</v>
      </c>
      <c r="AM80">
        <f>AH80*DATA_SUPPORT!$G$5</f>
        <v>0</v>
      </c>
      <c r="AN80">
        <f>CHAR(34) &amp; AJ69 &amp; CHAR(34) &amp; ":" &amp; AJ80 &amp; ", " &amp; CHAR(34) &amp; AK69 &amp; CHAR(34) &amp; ":" &amp; AK80 &amp; ", " &amp; CHAR(34) &amp; AL69 &amp; CHAR(34) &amp; ":" &amp; AL80 &amp; ", " &amp; CHAR(34) &amp; AM69 &amp; CHAR(34) &amp; ":" &amp; AM80</f>
        <v>0</v>
      </c>
    </row>
    <row r="81" spans="1:40">
      <c r="A81" t="s">
        <v>540</v>
      </c>
      <c r="B81" t="s">
        <v>658</v>
      </c>
      <c r="C81">
        <f>'AU'!A27</f>
        <v>0</v>
      </c>
      <c r="D81">
        <f>'AU'!H27</f>
        <v>0</v>
      </c>
      <c r="O81" t="s">
        <v>576</v>
      </c>
      <c r="P81" t="s">
        <v>713</v>
      </c>
      <c r="Q81">
        <f>'PE'!A43</f>
        <v>0</v>
      </c>
      <c r="R81">
        <f>'PE'!H43</f>
        <v>0</v>
      </c>
      <c r="AB81">
        <f>12</f>
        <v>0</v>
      </c>
      <c r="AC81">
        <f>MATCH(AB81, AL51:AL64, 0)</f>
        <v>0</v>
      </c>
      <c r="AD81">
        <f>INDEX(AD51:AD64, AC81, 1)</f>
        <v>0</v>
      </c>
      <c r="AE81">
        <f>INDEX(AE51:AE64, AC81, 1)</f>
        <v>0</v>
      </c>
      <c r="AF81">
        <f>INDEX(AF51:AF64, AC81, 1)</f>
        <v>0</v>
      </c>
      <c r="AG81">
        <f>INDEX(AG51:AG64, AC81, 1)</f>
        <v>0</v>
      </c>
      <c r="AH81">
        <f>INDEX(AH51:AH64, AC81, 1)</f>
        <v>0</v>
      </c>
      <c r="AI81">
        <f>VLOOKUP(AD81,DATA_SUPPORT!$D$2:$E$51,2)</f>
        <v>0</v>
      </c>
      <c r="AJ81">
        <f>AE81*DATA_SUPPORT!$G$5</f>
        <v>0</v>
      </c>
      <c r="AK81">
        <f>AF81*DATA_SUPPORT!$G$5</f>
        <v>0</v>
      </c>
      <c r="AL81">
        <f>AG81*DATA_SUPPORT!$G$5</f>
        <v>0</v>
      </c>
      <c r="AM81">
        <f>AH81*DATA_SUPPORT!$G$5</f>
        <v>0</v>
      </c>
      <c r="AN81">
        <f>CHAR(34) &amp; AJ69 &amp; CHAR(34) &amp; ":" &amp; AJ81 &amp; ", " &amp; CHAR(34) &amp; AK69 &amp; CHAR(34) &amp; ":" &amp; AK81 &amp; ", " &amp; CHAR(34) &amp; AL69 &amp; CHAR(34) &amp; ":" &amp; AL81 &amp; ", " &amp; CHAR(34) &amp; AM69 &amp; CHAR(34) &amp; ":" &amp; AM81</f>
        <v>0</v>
      </c>
    </row>
    <row r="82" spans="1:40">
      <c r="A82" t="s">
        <v>540</v>
      </c>
      <c r="B82" t="s">
        <v>658</v>
      </c>
      <c r="C82">
        <f>'AU'!A28</f>
        <v>0</v>
      </c>
      <c r="D82">
        <f>'AU'!H28</f>
        <v>0</v>
      </c>
      <c r="O82" t="s">
        <v>610</v>
      </c>
      <c r="P82" t="s">
        <v>714</v>
      </c>
      <c r="Q82">
        <f>'RA'!A14</f>
        <v>0</v>
      </c>
      <c r="R82">
        <f>'RA'!H14</f>
        <v>0</v>
      </c>
      <c r="AB82">
        <f>13</f>
        <v>0</v>
      </c>
      <c r="AC82">
        <f>MATCH(AB82, AL51:AL64, 0)</f>
        <v>0</v>
      </c>
      <c r="AD82">
        <f>INDEX(AD51:AD64, AC82, 1)</f>
        <v>0</v>
      </c>
      <c r="AE82">
        <f>INDEX(AE51:AE64, AC82, 1)</f>
        <v>0</v>
      </c>
      <c r="AF82">
        <f>INDEX(AF51:AF64, AC82, 1)</f>
        <v>0</v>
      </c>
      <c r="AG82">
        <f>INDEX(AG51:AG64, AC82, 1)</f>
        <v>0</v>
      </c>
      <c r="AH82">
        <f>INDEX(AH51:AH64, AC82, 1)</f>
        <v>0</v>
      </c>
      <c r="AI82">
        <f>VLOOKUP(AD82,DATA_SUPPORT!$D$2:$E$51,2)</f>
        <v>0</v>
      </c>
      <c r="AJ82">
        <f>AE82*DATA_SUPPORT!$G$5</f>
        <v>0</v>
      </c>
      <c r="AK82">
        <f>AF82*DATA_SUPPORT!$G$5</f>
        <v>0</v>
      </c>
      <c r="AL82">
        <f>AG82*DATA_SUPPORT!$G$5</f>
        <v>0</v>
      </c>
      <c r="AM82">
        <f>AH82*DATA_SUPPORT!$G$5</f>
        <v>0</v>
      </c>
      <c r="AN82">
        <f>CHAR(34) &amp; AJ69 &amp; CHAR(34) &amp; ":" &amp; AJ82 &amp; ", " &amp; CHAR(34) &amp; AK69 &amp; CHAR(34) &amp; ":" &amp; AK82 &amp; ", " &amp; CHAR(34) &amp; AL69 &amp; CHAR(34) &amp; ":" &amp; AL82 &amp; ", " &amp; CHAR(34) &amp; AM69 &amp; CHAR(34) &amp; ":" &amp; AM82</f>
        <v>0</v>
      </c>
    </row>
    <row r="83" spans="1:40">
      <c r="A83" t="s">
        <v>540</v>
      </c>
      <c r="B83" t="s">
        <v>659</v>
      </c>
      <c r="C83">
        <f>'AU'!A32</f>
        <v>0</v>
      </c>
      <c r="D83">
        <f>'AU'!H32</f>
        <v>0</v>
      </c>
      <c r="O83" t="s">
        <v>610</v>
      </c>
      <c r="P83" t="s">
        <v>715</v>
      </c>
      <c r="Q83">
        <f>'RA'!A22</f>
        <v>0</v>
      </c>
      <c r="R83">
        <f>'RA'!H22</f>
        <v>0</v>
      </c>
      <c r="AB83">
        <f>14</f>
        <v>0</v>
      </c>
      <c r="AC83">
        <f>MATCH(AB83, AL51:AL64, 0)</f>
        <v>0</v>
      </c>
      <c r="AD83">
        <f>INDEX(AD51:AD64, AC83, 1)</f>
        <v>0</v>
      </c>
      <c r="AE83">
        <f>INDEX(AE51:AE64, AC83, 1)</f>
        <v>0</v>
      </c>
      <c r="AF83">
        <f>INDEX(AF51:AF64, AC83, 1)</f>
        <v>0</v>
      </c>
      <c r="AG83">
        <f>INDEX(AG51:AG64, AC83, 1)</f>
        <v>0</v>
      </c>
      <c r="AH83">
        <f>INDEX(AH51:AH64, AC83, 1)</f>
        <v>0</v>
      </c>
      <c r="AI83">
        <f>VLOOKUP(AD83,DATA_SUPPORT!$D$2:$E$51,2)</f>
        <v>0</v>
      </c>
      <c r="AJ83">
        <f>AE83*DATA_SUPPORT!$G$5</f>
        <v>0</v>
      </c>
      <c r="AK83">
        <f>AF83*DATA_SUPPORT!$G$5</f>
        <v>0</v>
      </c>
      <c r="AL83">
        <f>AG83*DATA_SUPPORT!$G$5</f>
        <v>0</v>
      </c>
      <c r="AM83">
        <f>AH83*DATA_SUPPORT!$G$5</f>
        <v>0</v>
      </c>
      <c r="AN83">
        <f>CHAR(34) &amp; AJ69 &amp; CHAR(34) &amp; ":" &amp; AJ83 &amp; ", " &amp; CHAR(34) &amp; AK69 &amp; CHAR(34) &amp; ":" &amp; AK83 &amp; ", " &amp; CHAR(34) &amp; AL69 &amp; CHAR(34) &amp; ":" &amp; AL83 &amp; ", " &amp; CHAR(34) &amp; AM69 &amp; CHAR(34) &amp; ":" &amp; AM83</f>
        <v>0</v>
      </c>
    </row>
    <row r="84" spans="1:40">
      <c r="A84" t="s">
        <v>540</v>
      </c>
      <c r="B84" t="s">
        <v>659</v>
      </c>
      <c r="C84">
        <f>'AU'!A33</f>
        <v>0</v>
      </c>
      <c r="D84">
        <f>'AU'!H33</f>
        <v>0</v>
      </c>
      <c r="O84" t="s">
        <v>610</v>
      </c>
      <c r="P84" t="s">
        <v>716</v>
      </c>
      <c r="Q84">
        <f>'RA'!A27</f>
        <v>0</v>
      </c>
      <c r="R84">
        <f>'RA'!H27</f>
        <v>0</v>
      </c>
    </row>
    <row r="85" spans="1:40">
      <c r="A85" t="s">
        <v>540</v>
      </c>
      <c r="B85" t="s">
        <v>659</v>
      </c>
      <c r="C85">
        <f>'AU'!A34</f>
        <v>0</v>
      </c>
      <c r="D85">
        <f>'AU'!H34</f>
        <v>0</v>
      </c>
      <c r="O85" t="s">
        <v>596</v>
      </c>
      <c r="P85" t="s">
        <v>717</v>
      </c>
      <c r="Q85">
        <f>'CA'!A14</f>
        <v>0</v>
      </c>
      <c r="R85">
        <f>'CA'!H14</f>
        <v>0</v>
      </c>
    </row>
    <row r="86" spans="1:40">
      <c r="A86" t="s">
        <v>540</v>
      </c>
      <c r="B86" t="s">
        <v>660</v>
      </c>
      <c r="C86">
        <f>'AU'!A38</f>
        <v>0</v>
      </c>
      <c r="D86">
        <f>'AU'!H38</f>
        <v>0</v>
      </c>
      <c r="O86" t="s">
        <v>596</v>
      </c>
      <c r="P86" t="s">
        <v>718</v>
      </c>
      <c r="Q86">
        <f>'CA'!A20</f>
        <v>0</v>
      </c>
      <c r="R86">
        <f>'CA'!H20</f>
        <v>0</v>
      </c>
      <c r="AI86">
        <f>"{" &amp; char(34)&amp;AI70&amp;char(34)&amp;": {"&amp;AN70&amp;"}" &amp;", "  &amp; char(34)&amp;AI71&amp;char(34)&amp;": {"&amp;AN71&amp;"}" &amp;", "  &amp; char(34)&amp;AI72&amp;char(34)&amp;": {"&amp;AN72&amp;"}" &amp;", "  &amp; char(34)&amp;AI73&amp;char(34)&amp;": {"&amp;AN73&amp;"}" &amp;", "  &amp; char(34)&amp;AI74&amp;char(34)&amp;": {"&amp;AN74&amp;"}" &amp;", "  &amp; char(34)&amp;AI75&amp;char(34)&amp;": {"&amp;AN75&amp;"}" &amp;", "  &amp; char(34)&amp;AI76&amp;char(34)&amp;": {"&amp;AN76&amp;"}" &amp;", "  &amp; char(34)&amp;AI77&amp;char(34)&amp;": {"&amp;AN77&amp;"}" &amp;", "  &amp; char(34)&amp;AI78&amp;char(34)&amp;": {"&amp;AN78&amp;"}" &amp;", "  &amp; char(34)&amp;AI79&amp;char(34)&amp;": {"&amp;AN79&amp;"}" &amp;", "  &amp; char(34)&amp;AI80&amp;char(34)&amp;": {"&amp;AN80&amp;"}" &amp;", "  &amp; char(34)&amp;AI81&amp;char(34)&amp;": {"&amp;AN81&amp;"}" &amp;", "  &amp; char(34)&amp;AI82&amp;char(34)&amp;": {"&amp;AN82&amp;"}" &amp;", "  &amp; char(34)&amp;AI83&amp;char(34)&amp;": {"&amp;AN83&amp;"}"  &amp; "}"</f>
        <v>0</v>
      </c>
    </row>
    <row r="87" spans="1:40">
      <c r="A87" t="s">
        <v>540</v>
      </c>
      <c r="B87" t="s">
        <v>660</v>
      </c>
      <c r="C87">
        <f>'AU'!A39</f>
        <v>0</v>
      </c>
      <c r="D87">
        <f>'AU'!H39</f>
        <v>0</v>
      </c>
      <c r="O87" t="s">
        <v>596</v>
      </c>
      <c r="P87" t="s">
        <v>719</v>
      </c>
      <c r="Q87">
        <f>'CA'!A24</f>
        <v>0</v>
      </c>
      <c r="R87">
        <f>'CA'!H24</f>
        <v>0</v>
      </c>
    </row>
    <row r="88" spans="1:40">
      <c r="A88" t="s">
        <v>540</v>
      </c>
      <c r="B88" t="s">
        <v>661</v>
      </c>
      <c r="C88">
        <f>'AU'!A43</f>
        <v>0</v>
      </c>
      <c r="D88">
        <f>'AU'!H43</f>
        <v>0</v>
      </c>
      <c r="O88" t="s">
        <v>596</v>
      </c>
      <c r="P88" t="s">
        <v>720</v>
      </c>
      <c r="Q88">
        <f>'CA'!A35</f>
        <v>0</v>
      </c>
      <c r="R88">
        <f>'CA'!H35</f>
        <v>0</v>
      </c>
    </row>
    <row r="89" spans="1:40">
      <c r="A89" t="s">
        <v>540</v>
      </c>
      <c r="B89" t="s">
        <v>661</v>
      </c>
      <c r="C89">
        <f>'AU'!A44</f>
        <v>0</v>
      </c>
      <c r="D89">
        <f>'AU'!H44</f>
        <v>0</v>
      </c>
      <c r="O89" t="s">
        <v>600</v>
      </c>
      <c r="P89" t="s">
        <v>721</v>
      </c>
      <c r="Q89">
        <f>'SI'!A18</f>
        <v>0</v>
      </c>
      <c r="R89">
        <f>'SI'!H18</f>
        <v>0</v>
      </c>
    </row>
    <row r="90" spans="1:40">
      <c r="A90" t="s">
        <v>540</v>
      </c>
      <c r="B90" t="s">
        <v>662</v>
      </c>
      <c r="C90">
        <f>'AU'!A48</f>
        <v>0</v>
      </c>
      <c r="D90">
        <f>'AU'!H48</f>
        <v>0</v>
      </c>
      <c r="O90" t="s">
        <v>600</v>
      </c>
      <c r="P90" t="s">
        <v>722</v>
      </c>
      <c r="Q90">
        <f>'SI'!A23</f>
        <v>0</v>
      </c>
      <c r="R90">
        <f>'SI'!H23</f>
        <v>0</v>
      </c>
    </row>
    <row r="91" spans="1:40">
      <c r="A91" t="s">
        <v>540</v>
      </c>
      <c r="B91" t="s">
        <v>662</v>
      </c>
      <c r="C91">
        <f>'AU'!A49</f>
        <v>0</v>
      </c>
      <c r="D91">
        <f>'AU'!H49</f>
        <v>0</v>
      </c>
      <c r="O91" t="s">
        <v>600</v>
      </c>
      <c r="P91" t="s">
        <v>723</v>
      </c>
      <c r="Q91">
        <f>'SI'!A27</f>
        <v>0</v>
      </c>
      <c r="R91">
        <f>'SI'!H27</f>
        <v>0</v>
      </c>
    </row>
    <row r="92" spans="1:40">
      <c r="A92" t="s">
        <v>540</v>
      </c>
      <c r="B92" t="s">
        <v>662</v>
      </c>
      <c r="C92">
        <f>'AU'!A50</f>
        <v>0</v>
      </c>
      <c r="D92">
        <f>'AU'!H50</f>
        <v>0</v>
      </c>
      <c r="O92" t="s">
        <v>600</v>
      </c>
      <c r="P92" t="s">
        <v>724</v>
      </c>
      <c r="Q92">
        <f>'SI'!A33</f>
        <v>0</v>
      </c>
      <c r="R92">
        <f>'SI'!H33</f>
        <v>0</v>
      </c>
    </row>
    <row r="93" spans="1:40">
      <c r="A93" t="s">
        <v>540</v>
      </c>
      <c r="B93" t="s">
        <v>663</v>
      </c>
      <c r="C93">
        <f>'AU'!A54</f>
        <v>0</v>
      </c>
      <c r="D93">
        <f>'AU'!H54</f>
        <v>0</v>
      </c>
      <c r="O93" t="s">
        <v>600</v>
      </c>
      <c r="P93" t="s">
        <v>725</v>
      </c>
      <c r="Q93">
        <f>'SI'!A39</f>
        <v>0</v>
      </c>
      <c r="R93">
        <f>'SI'!H39</f>
        <v>0</v>
      </c>
    </row>
    <row r="94" spans="1:40">
      <c r="A94" t="s">
        <v>540</v>
      </c>
      <c r="B94" t="s">
        <v>663</v>
      </c>
      <c r="C94">
        <f>'AU'!A55</f>
        <v>0</v>
      </c>
      <c r="D94">
        <f>'AU'!H55</f>
        <v>0</v>
      </c>
      <c r="O94" t="s">
        <v>600</v>
      </c>
      <c r="P94" t="s">
        <v>726</v>
      </c>
      <c r="Q94">
        <f>'SI'!A45</f>
        <v>0</v>
      </c>
      <c r="R94">
        <f>'SI'!H45</f>
        <v>0</v>
      </c>
    </row>
    <row r="95" spans="1:40">
      <c r="A95" t="s">
        <v>540</v>
      </c>
      <c r="B95" t="s">
        <v>663</v>
      </c>
      <c r="C95">
        <f>'AU'!A56</f>
        <v>0</v>
      </c>
      <c r="D95">
        <f>'AU'!H56</f>
        <v>0</v>
      </c>
      <c r="O95" t="s">
        <v>600</v>
      </c>
      <c r="P95" t="s">
        <v>727</v>
      </c>
      <c r="Q95">
        <f>'SI'!A50</f>
        <v>0</v>
      </c>
      <c r="R95">
        <f>'SI'!H50</f>
        <v>0</v>
      </c>
    </row>
    <row r="96" spans="1:40">
      <c r="A96" t="s">
        <v>540</v>
      </c>
      <c r="B96" t="s">
        <v>663</v>
      </c>
      <c r="C96">
        <f>'AU'!A57</f>
        <v>0</v>
      </c>
      <c r="D96">
        <f>'AU'!H57</f>
        <v>0</v>
      </c>
      <c r="O96" t="s">
        <v>602</v>
      </c>
      <c r="P96" t="s">
        <v>728</v>
      </c>
      <c r="Q96">
        <f>'SC'!A20</f>
        <v>0</v>
      </c>
      <c r="R96">
        <f>'SC'!H20</f>
        <v>0</v>
      </c>
    </row>
    <row r="97" spans="1:18">
      <c r="A97" t="s">
        <v>540</v>
      </c>
      <c r="B97" t="s">
        <v>663</v>
      </c>
      <c r="C97">
        <f>'AU'!A58</f>
        <v>0</v>
      </c>
      <c r="D97">
        <f>'AU'!H58</f>
        <v>0</v>
      </c>
      <c r="O97" t="s">
        <v>602</v>
      </c>
      <c r="P97" t="s">
        <v>729</v>
      </c>
      <c r="Q97">
        <f>'SC'!A25</f>
        <v>0</v>
      </c>
      <c r="R97">
        <f>'SC'!H25</f>
        <v>0</v>
      </c>
    </row>
    <row r="98" spans="1:18">
      <c r="A98" t="s">
        <v>540</v>
      </c>
      <c r="B98" t="s">
        <v>663</v>
      </c>
      <c r="C98">
        <f>'AU'!A59</f>
        <v>0</v>
      </c>
      <c r="D98">
        <f>'AU'!H59</f>
        <v>0</v>
      </c>
      <c r="O98" t="s">
        <v>602</v>
      </c>
      <c r="P98" t="s">
        <v>730</v>
      </c>
      <c r="Q98">
        <f>'SC'!A30</f>
        <v>0</v>
      </c>
      <c r="R98">
        <f>'SC'!H30</f>
        <v>0</v>
      </c>
    </row>
    <row r="99" spans="1:18">
      <c r="A99" t="s">
        <v>540</v>
      </c>
      <c r="B99" t="s">
        <v>664</v>
      </c>
      <c r="C99">
        <f>'AU'!A63</f>
        <v>0</v>
      </c>
      <c r="D99">
        <f>'AU'!H63</f>
        <v>0</v>
      </c>
      <c r="O99" t="s">
        <v>602</v>
      </c>
      <c r="P99" t="s">
        <v>731</v>
      </c>
      <c r="Q99">
        <f>'SC'!A34</f>
        <v>0</v>
      </c>
      <c r="R99">
        <f>'SC'!H34</f>
        <v>0</v>
      </c>
    </row>
    <row r="100" spans="1:18">
      <c r="A100" t="s">
        <v>540</v>
      </c>
      <c r="B100" t="s">
        <v>664</v>
      </c>
      <c r="C100">
        <f>'AU'!A64</f>
        <v>0</v>
      </c>
      <c r="D100">
        <f>'AU'!H64</f>
        <v>0</v>
      </c>
      <c r="O100" t="s">
        <v>602</v>
      </c>
      <c r="P100" t="s">
        <v>732</v>
      </c>
      <c r="Q100">
        <f>'SC'!A40</f>
        <v>0</v>
      </c>
      <c r="R100">
        <f>'SC'!H40</f>
        <v>0</v>
      </c>
    </row>
    <row r="101" spans="1:18">
      <c r="A101" t="s">
        <v>542</v>
      </c>
      <c r="B101" t="s">
        <v>665</v>
      </c>
      <c r="C101">
        <f>'AT'!A12</f>
        <v>0</v>
      </c>
      <c r="D101">
        <f>'AT'!H12</f>
        <v>0</v>
      </c>
      <c r="O101" t="s">
        <v>602</v>
      </c>
      <c r="P101" t="s">
        <v>733</v>
      </c>
      <c r="Q101">
        <f>'SC'!A45</f>
        <v>0</v>
      </c>
      <c r="R101">
        <f>'SC'!H45</f>
        <v>0</v>
      </c>
    </row>
    <row r="102" spans="1:18">
      <c r="A102" t="s">
        <v>542</v>
      </c>
      <c r="B102" t="s">
        <v>665</v>
      </c>
      <c r="C102">
        <f>'AT'!A13</f>
        <v>0</v>
      </c>
      <c r="D102">
        <f>'AT'!H13</f>
        <v>0</v>
      </c>
      <c r="O102" t="s">
        <v>602</v>
      </c>
      <c r="P102" t="s">
        <v>734</v>
      </c>
      <c r="Q102">
        <f>'SC'!A50</f>
        <v>0</v>
      </c>
      <c r="R102">
        <f>'SC'!H50</f>
        <v>0</v>
      </c>
    </row>
    <row r="103" spans="1:18">
      <c r="A103" t="s">
        <v>542</v>
      </c>
      <c r="B103" t="s">
        <v>665</v>
      </c>
      <c r="C103">
        <f>'AT'!A14</f>
        <v>0</v>
      </c>
      <c r="D103">
        <f>'AT'!H14</f>
        <v>0</v>
      </c>
      <c r="O103" t="s">
        <v>602</v>
      </c>
      <c r="P103" t="s">
        <v>735</v>
      </c>
      <c r="Q103">
        <f>'SC'!A54</f>
        <v>0</v>
      </c>
      <c r="R103">
        <f>'SC'!H54</f>
        <v>0</v>
      </c>
    </row>
    <row r="104" spans="1:18">
      <c r="A104" t="s">
        <v>542</v>
      </c>
      <c r="B104" t="s">
        <v>665</v>
      </c>
      <c r="C104">
        <f>'AT'!A15</f>
        <v>0</v>
      </c>
      <c r="D104">
        <f>'AT'!H15</f>
        <v>0</v>
      </c>
      <c r="O104" t="s">
        <v>602</v>
      </c>
      <c r="P104" t="s">
        <v>736</v>
      </c>
      <c r="Q104">
        <f>'SC'!A58</f>
        <v>0</v>
      </c>
      <c r="R104">
        <f>'SC'!H58</f>
        <v>0</v>
      </c>
    </row>
    <row r="105" spans="1:18">
      <c r="A105" t="s">
        <v>542</v>
      </c>
      <c r="B105" t="s">
        <v>666</v>
      </c>
      <c r="C105">
        <f>'AT'!A19</f>
        <v>0</v>
      </c>
      <c r="D105">
        <f>'AT'!H19</f>
        <v>0</v>
      </c>
      <c r="O105" t="s">
        <v>602</v>
      </c>
      <c r="P105" t="s">
        <v>737</v>
      </c>
      <c r="Q105">
        <f>'SC'!A67</f>
        <v>0</v>
      </c>
      <c r="R105">
        <f>'SC'!H67</f>
        <v>0</v>
      </c>
    </row>
    <row r="106" spans="1:18">
      <c r="A106" t="s">
        <v>542</v>
      </c>
      <c r="B106" t="s">
        <v>666</v>
      </c>
      <c r="C106">
        <f>'AT'!A20</f>
        <v>0</v>
      </c>
      <c r="D106">
        <f>'AT'!H20</f>
        <v>0</v>
      </c>
      <c r="O106" t="s">
        <v>602</v>
      </c>
      <c r="P106" t="s">
        <v>738</v>
      </c>
      <c r="Q106">
        <f>'SC'!A73</f>
        <v>0</v>
      </c>
      <c r="R106">
        <f>'SC'!H73</f>
        <v>0</v>
      </c>
    </row>
    <row r="107" spans="1:18">
      <c r="A107" t="s">
        <v>542</v>
      </c>
      <c r="B107" t="s">
        <v>666</v>
      </c>
      <c r="C107">
        <f>'AT'!A21</f>
        <v>0</v>
      </c>
      <c r="D107">
        <f>'AT'!H21</f>
        <v>0</v>
      </c>
      <c r="O107" t="s">
        <v>602</v>
      </c>
      <c r="P107" t="s">
        <v>739</v>
      </c>
      <c r="Q107">
        <f>'SC'!A77</f>
        <v>0</v>
      </c>
      <c r="R107">
        <f>'SC'!H77</f>
        <v>0</v>
      </c>
    </row>
    <row r="108" spans="1:18">
      <c r="A108" t="s">
        <v>542</v>
      </c>
      <c r="B108" t="s">
        <v>667</v>
      </c>
      <c r="C108">
        <f>'AT'!A25</f>
        <v>0</v>
      </c>
      <c r="D108">
        <f>'AT'!H25</f>
        <v>0</v>
      </c>
      <c r="O108" t="s">
        <v>602</v>
      </c>
      <c r="P108" t="s">
        <v>740</v>
      </c>
      <c r="Q108">
        <f>'SC'!A82</f>
        <v>0</v>
      </c>
      <c r="R108">
        <f>'SC'!H82</f>
        <v>0</v>
      </c>
    </row>
    <row r="109" spans="1:18">
      <c r="A109" t="s">
        <v>542</v>
      </c>
      <c r="B109" t="s">
        <v>667</v>
      </c>
      <c r="C109">
        <f>'AT'!A26</f>
        <v>0</v>
      </c>
      <c r="D109">
        <f>'AT'!H26</f>
        <v>0</v>
      </c>
      <c r="O109" t="s">
        <v>602</v>
      </c>
      <c r="P109" t="s">
        <v>741</v>
      </c>
      <c r="Q109">
        <f>'SC'!A86</f>
        <v>0</v>
      </c>
      <c r="R109">
        <f>'SC'!H86</f>
        <v>0</v>
      </c>
    </row>
    <row r="110" spans="1:18">
      <c r="A110" t="s">
        <v>545</v>
      </c>
      <c r="B110" t="s">
        <v>668</v>
      </c>
      <c r="C110">
        <f>'CM'!A12</f>
        <v>0</v>
      </c>
      <c r="D110">
        <f>'CM'!H12</f>
        <v>0</v>
      </c>
      <c r="O110" t="s">
        <v>602</v>
      </c>
      <c r="P110" t="s">
        <v>742</v>
      </c>
      <c r="Q110">
        <f>'SC'!A92</f>
        <v>0</v>
      </c>
      <c r="R110">
        <f>'SC'!H92</f>
        <v>0</v>
      </c>
    </row>
    <row r="111" spans="1:18">
      <c r="A111" t="s">
        <v>545</v>
      </c>
      <c r="B111" t="s">
        <v>668</v>
      </c>
      <c r="C111">
        <f>'CM'!A13</f>
        <v>0</v>
      </c>
      <c r="D111">
        <f>'CM'!H13</f>
        <v>0</v>
      </c>
      <c r="O111" t="s">
        <v>602</v>
      </c>
      <c r="P111" t="s">
        <v>743</v>
      </c>
      <c r="Q111">
        <f>'SC'!A98</f>
        <v>0</v>
      </c>
      <c r="R111">
        <f>'SC'!H98</f>
        <v>0</v>
      </c>
    </row>
    <row r="112" spans="1:18">
      <c r="A112" t="s">
        <v>545</v>
      </c>
      <c r="B112" t="s">
        <v>668</v>
      </c>
      <c r="C112">
        <f>'CM'!A14</f>
        <v>0</v>
      </c>
      <c r="D112">
        <f>'CM'!H14</f>
        <v>0</v>
      </c>
    </row>
    <row r="113" spans="1:26">
      <c r="A113" t="s">
        <v>545</v>
      </c>
      <c r="B113" t="s">
        <v>668</v>
      </c>
      <c r="C113">
        <f>'CM'!A15</f>
        <v>0</v>
      </c>
      <c r="D113">
        <f>'CM'!H15</f>
        <v>0</v>
      </c>
      <c r="O113" t="s">
        <v>744</v>
      </c>
      <c r="Q113" t="s">
        <v>52</v>
      </c>
      <c r="R113">
        <f>COUNTIF(R2:R111,Q113)</f>
        <v>0</v>
      </c>
      <c r="S113">
        <f>VLOOKUP(Q113,DATA_SUPPORT!$D$2:$E$51,2)</f>
        <v>0</v>
      </c>
      <c r="T113">
        <f>R113*DATA_SUPPORT!$G$5</f>
        <v>0</v>
      </c>
      <c r="W113">
        <f>CONCATENATE(CHAR(34), S113,CHAR(34), ":", T113,",")</f>
        <v>0</v>
      </c>
      <c r="Y113">
        <f>W113 &amp; W114 &amp; W115 &amp; W116</f>
        <v>0</v>
      </c>
      <c r="Z113">
        <f>CONCATENATE("{",LEFT(Y113,LEN(Y113)-1),"}")</f>
        <v>0</v>
      </c>
    </row>
    <row r="114" spans="1:26">
      <c r="A114" t="s">
        <v>545</v>
      </c>
      <c r="B114" t="s">
        <v>668</v>
      </c>
      <c r="C114">
        <f>'CM'!A16</f>
        <v>0</v>
      </c>
      <c r="D114">
        <f>'CM'!H16</f>
        <v>0</v>
      </c>
      <c r="Q114" t="s">
        <v>53</v>
      </c>
      <c r="R114">
        <f>COUNTIF(R2:R111,Q114)</f>
        <v>0</v>
      </c>
      <c r="S114">
        <f>VLOOKUP(Q114,DATA_SUPPORT!$D$2:$E$51,2)</f>
        <v>0</v>
      </c>
      <c r="T114">
        <f>R114*DATA_SUPPORT!$G$5</f>
        <v>0</v>
      </c>
      <c r="W114">
        <f>CONCATENATE(CHAR(34), S114,CHAR(34), ":", T114,",")</f>
        <v>0</v>
      </c>
    </row>
    <row r="115" spans="1:26">
      <c r="A115" t="s">
        <v>545</v>
      </c>
      <c r="B115" t="s">
        <v>668</v>
      </c>
      <c r="C115">
        <f>'CM'!A17</f>
        <v>0</v>
      </c>
      <c r="D115">
        <f>'CM'!H17</f>
        <v>0</v>
      </c>
      <c r="Q115" t="s">
        <v>54</v>
      </c>
      <c r="R115">
        <f>COUNTIF(R2:R111,Q115)</f>
        <v>0</v>
      </c>
      <c r="S115">
        <f>VLOOKUP(Q115,DATA_SUPPORT!$D$2:$E$51,2)</f>
        <v>0</v>
      </c>
      <c r="T115">
        <f>R115*DATA_SUPPORT!$G$5</f>
        <v>0</v>
      </c>
      <c r="W115">
        <f>CONCATENATE(CHAR(34), S115,CHAR(34), ":", T115,",")</f>
        <v>0</v>
      </c>
    </row>
    <row r="116" spans="1:26">
      <c r="A116" t="s">
        <v>545</v>
      </c>
      <c r="B116" t="s">
        <v>669</v>
      </c>
      <c r="C116">
        <f>'CM'!A21</f>
        <v>0</v>
      </c>
      <c r="D116">
        <f>'CM'!H21</f>
        <v>0</v>
      </c>
      <c r="Q116" t="s">
        <v>51</v>
      </c>
      <c r="R116">
        <f>COUNTIF(R2:R111,Q116)</f>
        <v>0</v>
      </c>
      <c r="S116">
        <f>VLOOKUP(Q116,DATA_SUPPORT!$D$2:$E$51,2)</f>
        <v>0</v>
      </c>
      <c r="T116">
        <f>R116*DATA_SUPPORT!$G$5</f>
        <v>0</v>
      </c>
      <c r="W116">
        <f>CONCATENATE(CHAR(34), S116,CHAR(34), ":", T116,",")</f>
        <v>0</v>
      </c>
    </row>
    <row r="117" spans="1:26">
      <c r="A117" t="s">
        <v>545</v>
      </c>
      <c r="B117" t="s">
        <v>669</v>
      </c>
      <c r="C117">
        <f>'CM'!A22</f>
        <v>0</v>
      </c>
      <c r="D117">
        <f>'CM'!H22</f>
        <v>0</v>
      </c>
    </row>
    <row r="118" spans="1:26">
      <c r="A118" t="s">
        <v>545</v>
      </c>
      <c r="B118" t="s">
        <v>670</v>
      </c>
      <c r="C118">
        <f>'CM'!A26</f>
        <v>0</v>
      </c>
      <c r="D118">
        <f>'CM'!H26</f>
        <v>0</v>
      </c>
      <c r="O118" t="s">
        <v>623</v>
      </c>
      <c r="R118" t="s">
        <v>52</v>
      </c>
      <c r="S118" t="s">
        <v>53</v>
      </c>
      <c r="T118" t="s">
        <v>54</v>
      </c>
      <c r="U118" t="s">
        <v>51</v>
      </c>
      <c r="V118" t="s">
        <v>624</v>
      </c>
      <c r="W118" t="s">
        <v>625</v>
      </c>
      <c r="X118" t="s">
        <v>626</v>
      </c>
      <c r="Y118" t="s">
        <v>627</v>
      </c>
    </row>
    <row r="119" spans="1:26">
      <c r="A119" t="s">
        <v>545</v>
      </c>
      <c r="B119" t="s">
        <v>670</v>
      </c>
      <c r="C119">
        <f>'CM'!A27</f>
        <v>0</v>
      </c>
      <c r="D119">
        <f>'CM'!H27</f>
        <v>0</v>
      </c>
      <c r="Q119" t="s">
        <v>536</v>
      </c>
      <c r="R119">
        <f>COUNTIFS(O2:O111,Q119,R2:R111,R118)</f>
        <v>0</v>
      </c>
      <c r="S119">
        <f>COUNTIFS(O2:O111,Q119,R2:R111,S118)</f>
        <v>0</v>
      </c>
      <c r="T119">
        <f>COUNTIFS(O2:O111,Q119,R2:R111,T118)</f>
        <v>0</v>
      </c>
      <c r="U119">
        <f>COUNTIFS(O2:O111,Q119,R2:R111,U118)</f>
        <v>0</v>
      </c>
      <c r="V119">
        <f>(R119 * 10000) + (S119 * 1000) + (T119 * 100) + (U119 * 10)</f>
        <v>0</v>
      </c>
      <c r="W119">
        <f>COUNTIF(V119:V132,"&lt;"&amp;V119)</f>
        <v>0</v>
      </c>
      <c r="X119">
        <f>COUNTIF(W119:W119,"="&amp;W119)</f>
        <v>0</v>
      </c>
      <c r="Y119">
        <f>W119 + X119</f>
        <v>0</v>
      </c>
    </row>
    <row r="120" spans="1:26">
      <c r="A120" t="s">
        <v>545</v>
      </c>
      <c r="B120" t="s">
        <v>670</v>
      </c>
      <c r="C120">
        <f>'CM'!A28</f>
        <v>0</v>
      </c>
      <c r="D120">
        <f>'CM'!H28</f>
        <v>0</v>
      </c>
      <c r="Q120" t="s">
        <v>540</v>
      </c>
      <c r="R120">
        <f>COUNTIFS(O2:O111,Q120,R2:R111,R118)</f>
        <v>0</v>
      </c>
      <c r="S120">
        <f>COUNTIFS(O2:O111,Q120,R2:R111,S118)</f>
        <v>0</v>
      </c>
      <c r="T120">
        <f>COUNTIFS(O2:O111,Q120,R2:R111,T118)</f>
        <v>0</v>
      </c>
      <c r="U120">
        <f>COUNTIFS(O2:O111,Q120,R2:R111,U118)</f>
        <v>0</v>
      </c>
      <c r="V120">
        <f>(R120 * 10000) + (S120 * 1000) + (T120 * 100) + (U120 * 10)</f>
        <v>0</v>
      </c>
      <c r="W120">
        <f>COUNTIF(V119:V132,"&lt;"&amp;V120)</f>
        <v>0</v>
      </c>
      <c r="X120">
        <f>COUNTIF(W119:W120,"="&amp;W120)</f>
        <v>0</v>
      </c>
      <c r="Y120">
        <f>W120 + X120</f>
        <v>0</v>
      </c>
    </row>
    <row r="121" spans="1:26">
      <c r="A121" t="s">
        <v>545</v>
      </c>
      <c r="B121" t="s">
        <v>670</v>
      </c>
      <c r="C121">
        <f>'CM'!A29</f>
        <v>0</v>
      </c>
      <c r="D121">
        <f>'CM'!H29</f>
        <v>0</v>
      </c>
      <c r="Q121" t="s">
        <v>542</v>
      </c>
      <c r="R121">
        <f>COUNTIFS(O2:O111,Q121,R2:R111,R118)</f>
        <v>0</v>
      </c>
      <c r="S121">
        <f>COUNTIFS(O2:O111,Q121,R2:R111,S118)</f>
        <v>0</v>
      </c>
      <c r="T121">
        <f>COUNTIFS(O2:O111,Q121,R2:R111,T118)</f>
        <v>0</v>
      </c>
      <c r="U121">
        <f>COUNTIFS(O2:O111,Q121,R2:R111,U118)</f>
        <v>0</v>
      </c>
      <c r="V121">
        <f>(R121 * 10000) + (S121 * 1000) + (T121 * 100) + (U121 * 10)</f>
        <v>0</v>
      </c>
      <c r="W121">
        <f>COUNTIF(V119:V132,"&lt;"&amp;V121)</f>
        <v>0</v>
      </c>
      <c r="X121">
        <f>COUNTIF(W119:W121,"="&amp;W121)</f>
        <v>0</v>
      </c>
      <c r="Y121">
        <f>W121 + X121</f>
        <v>0</v>
      </c>
    </row>
    <row r="122" spans="1:26">
      <c r="A122" t="s">
        <v>545</v>
      </c>
      <c r="B122" t="s">
        <v>671</v>
      </c>
      <c r="C122">
        <f>'CM'!A33</f>
        <v>0</v>
      </c>
      <c r="D122">
        <f>'CM'!H33</f>
        <v>0</v>
      </c>
      <c r="Q122" t="s">
        <v>545</v>
      </c>
      <c r="R122">
        <f>COUNTIFS(O2:O111,Q122,R2:R111,R118)</f>
        <v>0</v>
      </c>
      <c r="S122">
        <f>COUNTIFS(O2:O111,Q122,R2:R111,S118)</f>
        <v>0</v>
      </c>
      <c r="T122">
        <f>COUNTIFS(O2:O111,Q122,R2:R111,T118)</f>
        <v>0</v>
      </c>
      <c r="U122">
        <f>COUNTIFS(O2:O111,Q122,R2:R111,U118)</f>
        <v>0</v>
      </c>
      <c r="V122">
        <f>(R122 * 10000) + (S122 * 1000) + (T122 * 100) + (U122 * 10)</f>
        <v>0</v>
      </c>
      <c r="W122">
        <f>COUNTIF(V119:V132,"&lt;"&amp;V122)</f>
        <v>0</v>
      </c>
      <c r="X122">
        <f>COUNTIF(W119:W122,"="&amp;W122)</f>
        <v>0</v>
      </c>
      <c r="Y122">
        <f>W122 + X122</f>
        <v>0</v>
      </c>
    </row>
    <row r="123" spans="1:26">
      <c r="A123" t="s">
        <v>545</v>
      </c>
      <c r="B123" t="s">
        <v>672</v>
      </c>
      <c r="C123">
        <f>'CM'!A37</f>
        <v>0</v>
      </c>
      <c r="D123">
        <f>'CM'!H37</f>
        <v>0</v>
      </c>
      <c r="Q123" t="s">
        <v>554</v>
      </c>
      <c r="R123">
        <f>COUNTIFS(O2:O111,Q123,R2:R111,R118)</f>
        <v>0</v>
      </c>
      <c r="S123">
        <f>COUNTIFS(O2:O111,Q123,R2:R111,S118)</f>
        <v>0</v>
      </c>
      <c r="T123">
        <f>COUNTIFS(O2:O111,Q123,R2:R111,T118)</f>
        <v>0</v>
      </c>
      <c r="U123">
        <f>COUNTIFS(O2:O111,Q123,R2:R111,U118)</f>
        <v>0</v>
      </c>
      <c r="V123">
        <f>(R123 * 10000) + (S123 * 1000) + (T123 * 100) + (U123 * 10)</f>
        <v>0</v>
      </c>
      <c r="W123">
        <f>COUNTIF(V119:V132,"&lt;"&amp;V123)</f>
        <v>0</v>
      </c>
      <c r="X123">
        <f>COUNTIF(W119:W123,"="&amp;W123)</f>
        <v>0</v>
      </c>
      <c r="Y123">
        <f>W123 + X123</f>
        <v>0</v>
      </c>
    </row>
    <row r="124" spans="1:26">
      <c r="A124" t="s">
        <v>545</v>
      </c>
      <c r="B124" t="s">
        <v>672</v>
      </c>
      <c r="C124">
        <f>'CM'!A38</f>
        <v>0</v>
      </c>
      <c r="D124">
        <f>'CM'!H38</f>
        <v>0</v>
      </c>
      <c r="Q124" t="s">
        <v>556</v>
      </c>
      <c r="R124">
        <f>COUNTIFS(O2:O111,Q124,R2:R111,R118)</f>
        <v>0</v>
      </c>
      <c r="S124">
        <f>COUNTIFS(O2:O111,Q124,R2:R111,S118)</f>
        <v>0</v>
      </c>
      <c r="T124">
        <f>COUNTIFS(O2:O111,Q124,R2:R111,T118)</f>
        <v>0</v>
      </c>
      <c r="U124">
        <f>COUNTIFS(O2:O111,Q124,R2:R111,U118)</f>
        <v>0</v>
      </c>
      <c r="V124">
        <f>(R124 * 10000) + (S124 * 1000) + (T124 * 100) + (U124 * 10)</f>
        <v>0</v>
      </c>
      <c r="W124">
        <f>COUNTIF(V119:V132,"&lt;"&amp;V124)</f>
        <v>0</v>
      </c>
      <c r="X124">
        <f>COUNTIF(W119:W124,"="&amp;W124)</f>
        <v>0</v>
      </c>
      <c r="Y124">
        <f>W124 + X124</f>
        <v>0</v>
      </c>
    </row>
    <row r="125" spans="1:26">
      <c r="A125" t="s">
        <v>545</v>
      </c>
      <c r="B125" t="s">
        <v>672</v>
      </c>
      <c r="C125">
        <f>'CM'!A39</f>
        <v>0</v>
      </c>
      <c r="D125">
        <f>'CM'!H39</f>
        <v>0</v>
      </c>
      <c r="Q125" t="s">
        <v>561</v>
      </c>
      <c r="R125">
        <f>COUNTIFS(O2:O111,Q125,R2:R111,R118)</f>
        <v>0</v>
      </c>
      <c r="S125">
        <f>COUNTIFS(O2:O111,Q125,R2:R111,S118)</f>
        <v>0</v>
      </c>
      <c r="T125">
        <f>COUNTIFS(O2:O111,Q125,R2:R111,T118)</f>
        <v>0</v>
      </c>
      <c r="U125">
        <f>COUNTIFS(O2:O111,Q125,R2:R111,U118)</f>
        <v>0</v>
      </c>
      <c r="V125">
        <f>(R125 * 10000) + (S125 * 1000) + (T125 * 100) + (U125 * 10)</f>
        <v>0</v>
      </c>
      <c r="W125">
        <f>COUNTIF(V119:V132,"&lt;"&amp;V125)</f>
        <v>0</v>
      </c>
      <c r="X125">
        <f>COUNTIF(W119:W125,"="&amp;W125)</f>
        <v>0</v>
      </c>
      <c r="Y125">
        <f>W125 + X125</f>
        <v>0</v>
      </c>
    </row>
    <row r="126" spans="1:26">
      <c r="A126" t="s">
        <v>545</v>
      </c>
      <c r="B126" t="s">
        <v>672</v>
      </c>
      <c r="C126">
        <f>'CM'!A40</f>
        <v>0</v>
      </c>
      <c r="D126">
        <f>'CM'!H40</f>
        <v>0</v>
      </c>
      <c r="Q126" t="s">
        <v>563</v>
      </c>
      <c r="R126">
        <f>COUNTIFS(O2:O111,Q126,R2:R111,R118)</f>
        <v>0</v>
      </c>
      <c r="S126">
        <f>COUNTIFS(O2:O111,Q126,R2:R111,S118)</f>
        <v>0</v>
      </c>
      <c r="T126">
        <f>COUNTIFS(O2:O111,Q126,R2:R111,T118)</f>
        <v>0</v>
      </c>
      <c r="U126">
        <f>COUNTIFS(O2:O111,Q126,R2:R111,U118)</f>
        <v>0</v>
      </c>
      <c r="V126">
        <f>(R126 * 10000) + (S126 * 1000) + (T126 * 100) + (U126 * 10)</f>
        <v>0</v>
      </c>
      <c r="W126">
        <f>COUNTIF(V119:V132,"&lt;"&amp;V126)</f>
        <v>0</v>
      </c>
      <c r="X126">
        <f>COUNTIF(W119:W126,"="&amp;W126)</f>
        <v>0</v>
      </c>
      <c r="Y126">
        <f>W126 + X126</f>
        <v>0</v>
      </c>
    </row>
    <row r="127" spans="1:26">
      <c r="A127" t="s">
        <v>545</v>
      </c>
      <c r="B127" t="s">
        <v>672</v>
      </c>
      <c r="C127">
        <f>'CM'!A41</f>
        <v>0</v>
      </c>
      <c r="D127">
        <f>'CM'!H41</f>
        <v>0</v>
      </c>
      <c r="Q127" t="s">
        <v>574</v>
      </c>
      <c r="R127">
        <f>COUNTIFS(O2:O111,Q127,R2:R111,R118)</f>
        <v>0</v>
      </c>
      <c r="S127">
        <f>COUNTIFS(O2:O111,Q127,R2:R111,S118)</f>
        <v>0</v>
      </c>
      <c r="T127">
        <f>COUNTIFS(O2:O111,Q127,R2:R111,T118)</f>
        <v>0</v>
      </c>
      <c r="U127">
        <f>COUNTIFS(O2:O111,Q127,R2:R111,U118)</f>
        <v>0</v>
      </c>
      <c r="V127">
        <f>(R127 * 10000) + (S127 * 1000) + (T127 * 100) + (U127 * 10)</f>
        <v>0</v>
      </c>
      <c r="W127">
        <f>COUNTIF(V119:V132,"&lt;"&amp;V127)</f>
        <v>0</v>
      </c>
      <c r="X127">
        <f>COUNTIF(W119:W127,"="&amp;W127)</f>
        <v>0</v>
      </c>
      <c r="Y127">
        <f>W127 + X127</f>
        <v>0</v>
      </c>
    </row>
    <row r="128" spans="1:26">
      <c r="A128" t="s">
        <v>545</v>
      </c>
      <c r="B128" t="s">
        <v>672</v>
      </c>
      <c r="C128">
        <f>'CM'!A42</f>
        <v>0</v>
      </c>
      <c r="D128">
        <f>'CM'!H42</f>
        <v>0</v>
      </c>
      <c r="Q128" t="s">
        <v>576</v>
      </c>
      <c r="R128">
        <f>COUNTIFS(O2:O111,Q128,R2:R111,R118)</f>
        <v>0</v>
      </c>
      <c r="S128">
        <f>COUNTIFS(O2:O111,Q128,R2:R111,S118)</f>
        <v>0</v>
      </c>
      <c r="T128">
        <f>COUNTIFS(O2:O111,Q128,R2:R111,T118)</f>
        <v>0</v>
      </c>
      <c r="U128">
        <f>COUNTIFS(O2:O111,Q128,R2:R111,U118)</f>
        <v>0</v>
      </c>
      <c r="V128">
        <f>(R128 * 10000) + (S128 * 1000) + (T128 * 100) + (U128 * 10)</f>
        <v>0</v>
      </c>
      <c r="W128">
        <f>COUNTIF(V119:V132,"&lt;"&amp;V128)</f>
        <v>0</v>
      </c>
      <c r="X128">
        <f>COUNTIF(W119:W128,"="&amp;W128)</f>
        <v>0</v>
      </c>
      <c r="Y128">
        <f>W128 + X128</f>
        <v>0</v>
      </c>
    </row>
    <row r="129" spans="1:27">
      <c r="A129" t="s">
        <v>545</v>
      </c>
      <c r="B129" t="s">
        <v>672</v>
      </c>
      <c r="C129">
        <f>'CM'!A43</f>
        <v>0</v>
      </c>
      <c r="D129">
        <f>'CM'!H43</f>
        <v>0</v>
      </c>
      <c r="Q129" t="s">
        <v>610</v>
      </c>
      <c r="R129">
        <f>COUNTIFS(O2:O111,Q129,R2:R111,R118)</f>
        <v>0</v>
      </c>
      <c r="S129">
        <f>COUNTIFS(O2:O111,Q129,R2:R111,S118)</f>
        <v>0</v>
      </c>
      <c r="T129">
        <f>COUNTIFS(O2:O111,Q129,R2:R111,T118)</f>
        <v>0</v>
      </c>
      <c r="U129">
        <f>COUNTIFS(O2:O111,Q129,R2:R111,U118)</f>
        <v>0</v>
      </c>
      <c r="V129">
        <f>(R129 * 10000) + (S129 * 1000) + (T129 * 100) + (U129 * 10)</f>
        <v>0</v>
      </c>
      <c r="W129">
        <f>COUNTIF(V119:V132,"&lt;"&amp;V129)</f>
        <v>0</v>
      </c>
      <c r="X129">
        <f>COUNTIF(W119:W129,"="&amp;W129)</f>
        <v>0</v>
      </c>
      <c r="Y129">
        <f>W129 + X129</f>
        <v>0</v>
      </c>
    </row>
    <row r="130" spans="1:27">
      <c r="A130" t="s">
        <v>545</v>
      </c>
      <c r="B130" t="s">
        <v>672</v>
      </c>
      <c r="C130">
        <f>'CM'!A44</f>
        <v>0</v>
      </c>
      <c r="D130">
        <f>'CM'!H44</f>
        <v>0</v>
      </c>
      <c r="Q130" t="s">
        <v>596</v>
      </c>
      <c r="R130">
        <f>COUNTIFS(O2:O111,Q130,R2:R111,R118)</f>
        <v>0</v>
      </c>
      <c r="S130">
        <f>COUNTIFS(O2:O111,Q130,R2:R111,S118)</f>
        <v>0</v>
      </c>
      <c r="T130">
        <f>COUNTIFS(O2:O111,Q130,R2:R111,T118)</f>
        <v>0</v>
      </c>
      <c r="U130">
        <f>COUNTIFS(O2:O111,Q130,R2:R111,U118)</f>
        <v>0</v>
      </c>
      <c r="V130">
        <f>(R130 * 10000) + (S130 * 1000) + (T130 * 100) + (U130 * 10)</f>
        <v>0</v>
      </c>
      <c r="W130">
        <f>COUNTIF(V119:V132,"&lt;"&amp;V130)</f>
        <v>0</v>
      </c>
      <c r="X130">
        <f>COUNTIF(W119:W130,"="&amp;W130)</f>
        <v>0</v>
      </c>
      <c r="Y130">
        <f>W130 + X130</f>
        <v>0</v>
      </c>
    </row>
    <row r="131" spans="1:27">
      <c r="A131" t="s">
        <v>545</v>
      </c>
      <c r="B131" t="s">
        <v>673</v>
      </c>
      <c r="C131">
        <f>'CM'!A48</f>
        <v>0</v>
      </c>
      <c r="D131">
        <f>'CM'!H48</f>
        <v>0</v>
      </c>
      <c r="Q131" t="s">
        <v>600</v>
      </c>
      <c r="R131">
        <f>COUNTIFS(O2:O111,Q131,R2:R111,R118)</f>
        <v>0</v>
      </c>
      <c r="S131">
        <f>COUNTIFS(O2:O111,Q131,R2:R111,S118)</f>
        <v>0</v>
      </c>
      <c r="T131">
        <f>COUNTIFS(O2:O111,Q131,R2:R111,T118)</f>
        <v>0</v>
      </c>
      <c r="U131">
        <f>COUNTIFS(O2:O111,Q131,R2:R111,U118)</f>
        <v>0</v>
      </c>
      <c r="V131">
        <f>(R131 * 10000) + (S131 * 1000) + (T131 * 100) + (U131 * 10)</f>
        <v>0</v>
      </c>
      <c r="W131">
        <f>COUNTIF(V119:V132,"&lt;"&amp;V131)</f>
        <v>0</v>
      </c>
      <c r="X131">
        <f>COUNTIF(W119:W131,"="&amp;W131)</f>
        <v>0</v>
      </c>
      <c r="Y131">
        <f>W131 + X131</f>
        <v>0</v>
      </c>
    </row>
    <row r="132" spans="1:27">
      <c r="A132" t="s">
        <v>545</v>
      </c>
      <c r="B132" t="s">
        <v>673</v>
      </c>
      <c r="C132">
        <f>'CM'!A49</f>
        <v>0</v>
      </c>
      <c r="D132">
        <f>'CM'!H49</f>
        <v>0</v>
      </c>
      <c r="Q132" t="s">
        <v>602</v>
      </c>
      <c r="R132">
        <f>COUNTIFS(O2:O111,Q132,R2:R111,R118)</f>
        <v>0</v>
      </c>
      <c r="S132">
        <f>COUNTIFS(O2:O111,Q132,R2:R111,S118)</f>
        <v>0</v>
      </c>
      <c r="T132">
        <f>COUNTIFS(O2:O111,Q132,R2:R111,T118)</f>
        <v>0</v>
      </c>
      <c r="U132">
        <f>COUNTIFS(O2:O111,Q132,R2:R111,U118)</f>
        <v>0</v>
      </c>
      <c r="V132">
        <f>(R132 * 10000) + (S132 * 1000) + (T132 * 100) + (U132 * 10)</f>
        <v>0</v>
      </c>
      <c r="W132">
        <f>COUNTIF(V119:V132,"&lt;"&amp;V132)</f>
        <v>0</v>
      </c>
      <c r="X132">
        <f>COUNTIF(W119:W132,"="&amp;W132)</f>
        <v>0</v>
      </c>
      <c r="Y132">
        <f>W132 + X132</f>
        <v>0</v>
      </c>
    </row>
    <row r="133" spans="1:27">
      <c r="A133" t="s">
        <v>545</v>
      </c>
      <c r="B133" t="s">
        <v>674</v>
      </c>
      <c r="C133">
        <f>'CM'!A53</f>
        <v>0</v>
      </c>
      <c r="D133">
        <f>'CM'!H53</f>
        <v>0</v>
      </c>
    </row>
    <row r="134" spans="1:27">
      <c r="A134" t="s">
        <v>545</v>
      </c>
      <c r="B134" t="s">
        <v>674</v>
      </c>
      <c r="C134">
        <f>'CM'!A54</f>
        <v>0</v>
      </c>
      <c r="D134">
        <f>'CM'!H54</f>
        <v>0</v>
      </c>
    </row>
    <row r="135" spans="1:27">
      <c r="A135" t="s">
        <v>545</v>
      </c>
      <c r="B135" t="s">
        <v>674</v>
      </c>
      <c r="C135">
        <f>'CM'!A55</f>
        <v>0</v>
      </c>
      <c r="D135">
        <f>'CM'!H55</f>
        <v>0</v>
      </c>
    </row>
    <row r="136" spans="1:27">
      <c r="A136" t="s">
        <v>545</v>
      </c>
      <c r="B136" t="s">
        <v>674</v>
      </c>
      <c r="C136">
        <f>'CM'!A56</f>
        <v>0</v>
      </c>
      <c r="D136">
        <f>'CM'!H56</f>
        <v>0</v>
      </c>
      <c r="O136" t="s">
        <v>628</v>
      </c>
    </row>
    <row r="137" spans="1:27">
      <c r="A137" t="s">
        <v>545</v>
      </c>
      <c r="B137" t="s">
        <v>674</v>
      </c>
      <c r="C137">
        <f>'CM'!A57</f>
        <v>0</v>
      </c>
      <c r="D137">
        <f>'CM'!H57</f>
        <v>0</v>
      </c>
      <c r="O137" t="s">
        <v>629</v>
      </c>
      <c r="P137" t="s">
        <v>630</v>
      </c>
      <c r="R137" t="s">
        <v>52</v>
      </c>
      <c r="S137" t="s">
        <v>53</v>
      </c>
      <c r="T137" t="s">
        <v>54</v>
      </c>
      <c r="U137" t="s">
        <v>51</v>
      </c>
      <c r="V137" t="s">
        <v>631</v>
      </c>
      <c r="W137">
        <f>VLOOKUP("Completed",DATA_SUPPORT!$D$2:$E$51,2)</f>
        <v>0</v>
      </c>
      <c r="X137">
        <f>VLOOKUP("Partially Completed",DATA_SUPPORT!$D$2:$E$51,2)</f>
        <v>0</v>
      </c>
      <c r="Y137">
        <f>VLOOKUP("Not Yet Started",DATA_SUPPORT!$D$2:$E$51,2)</f>
        <v>0</v>
      </c>
      <c r="Z137">
        <f>VLOOKUP("No Answer",DATA_SUPPORT!$D$2:$E$51,2)</f>
        <v>0</v>
      </c>
      <c r="AA137" t="s">
        <v>632</v>
      </c>
    </row>
    <row r="138" spans="1:27">
      <c r="A138" t="s">
        <v>545</v>
      </c>
      <c r="B138" t="s">
        <v>674</v>
      </c>
      <c r="C138">
        <f>'CM'!A58</f>
        <v>0</v>
      </c>
      <c r="D138">
        <f>'CM'!H58</f>
        <v>0</v>
      </c>
      <c r="O138">
        <f>1</f>
        <v>0</v>
      </c>
      <c r="P138">
        <f>MATCH(O138, Y119:Y132, 0)</f>
        <v>0</v>
      </c>
      <c r="Q138">
        <f>INDEX(Q119:Q132, P138, 1)</f>
        <v>0</v>
      </c>
      <c r="R138">
        <f>INDEX(R119:R132, P138, 1)</f>
        <v>0</v>
      </c>
      <c r="S138">
        <f>INDEX(S119:S132, P138, 1)</f>
        <v>0</v>
      </c>
      <c r="T138">
        <f>INDEX(T119:T132, P138, 1)</f>
        <v>0</v>
      </c>
      <c r="U138">
        <f>INDEX(U119:U132, P138, 1)</f>
        <v>0</v>
      </c>
      <c r="V138">
        <f>VLOOKUP(Q138,DATA_SUPPORT!$D$2:$E$51,2)</f>
        <v>0</v>
      </c>
      <c r="W138">
        <f>R138*DATA_SUPPORT!$G$5</f>
        <v>0</v>
      </c>
      <c r="X138">
        <f>S138*DATA_SUPPORT!$G$5</f>
        <v>0</v>
      </c>
      <c r="Y138">
        <f>T138*DATA_SUPPORT!$G$5</f>
        <v>0</v>
      </c>
      <c r="Z138">
        <f>U138*DATA_SUPPORT!$G$5</f>
        <v>0</v>
      </c>
      <c r="AA138">
        <f>CHAR(34) &amp; W137 &amp; CHAR(34) &amp; ":" &amp; W138 &amp; ", " &amp; CHAR(34) &amp; X137 &amp; CHAR(34) &amp; ":" &amp; X138 &amp; ", " &amp; CHAR(34) &amp; Y137 &amp; CHAR(34) &amp; ":" &amp; Y138 &amp; ", " &amp; CHAR(34) &amp; Z137 &amp; CHAR(34) &amp; ":" &amp; Z138</f>
        <v>0</v>
      </c>
    </row>
    <row r="139" spans="1:27">
      <c r="A139" t="s">
        <v>545</v>
      </c>
      <c r="B139" t="s">
        <v>674</v>
      </c>
      <c r="C139">
        <f>'CM'!A59</f>
        <v>0</v>
      </c>
      <c r="D139">
        <f>'CM'!H59</f>
        <v>0</v>
      </c>
      <c r="O139">
        <f>2</f>
        <v>0</v>
      </c>
      <c r="P139">
        <f>MATCH(O139, Y119:Y132, 0)</f>
        <v>0</v>
      </c>
      <c r="Q139">
        <f>INDEX(Q119:Q132, P139, 1)</f>
        <v>0</v>
      </c>
      <c r="R139">
        <f>INDEX(R119:R132, P139, 1)</f>
        <v>0</v>
      </c>
      <c r="S139">
        <f>INDEX(S119:S132, P139, 1)</f>
        <v>0</v>
      </c>
      <c r="T139">
        <f>INDEX(T119:T132, P139, 1)</f>
        <v>0</v>
      </c>
      <c r="U139">
        <f>INDEX(U119:U132, P139, 1)</f>
        <v>0</v>
      </c>
      <c r="V139">
        <f>VLOOKUP(Q139,DATA_SUPPORT!$D$2:$E$51,2)</f>
        <v>0</v>
      </c>
      <c r="W139">
        <f>R139*DATA_SUPPORT!$G$5</f>
        <v>0</v>
      </c>
      <c r="X139">
        <f>S139*DATA_SUPPORT!$G$5</f>
        <v>0</v>
      </c>
      <c r="Y139">
        <f>T139*DATA_SUPPORT!$G$5</f>
        <v>0</v>
      </c>
      <c r="Z139">
        <f>U139*DATA_SUPPORT!$G$5</f>
        <v>0</v>
      </c>
      <c r="AA139">
        <f>CHAR(34) &amp; W137 &amp; CHAR(34) &amp; ":" &amp; W139 &amp; ", " &amp; CHAR(34) &amp; X137 &amp; CHAR(34) &amp; ":" &amp; X139 &amp; ", " &amp; CHAR(34) &amp; Y137 &amp; CHAR(34) &amp; ":" &amp; Y139 &amp; ", " &amp; CHAR(34) &amp; Z137 &amp; CHAR(34) &amp; ":" &amp; Z139</f>
        <v>0</v>
      </c>
    </row>
    <row r="140" spans="1:27">
      <c r="A140" t="s">
        <v>545</v>
      </c>
      <c r="B140" t="s">
        <v>674</v>
      </c>
      <c r="C140">
        <f>'CM'!A60</f>
        <v>0</v>
      </c>
      <c r="D140">
        <f>'CM'!H60</f>
        <v>0</v>
      </c>
      <c r="O140">
        <f>3</f>
        <v>0</v>
      </c>
      <c r="P140">
        <f>MATCH(O140, Y119:Y132, 0)</f>
        <v>0</v>
      </c>
      <c r="Q140">
        <f>INDEX(Q119:Q132, P140, 1)</f>
        <v>0</v>
      </c>
      <c r="R140">
        <f>INDEX(R119:R132, P140, 1)</f>
        <v>0</v>
      </c>
      <c r="S140">
        <f>INDEX(S119:S132, P140, 1)</f>
        <v>0</v>
      </c>
      <c r="T140">
        <f>INDEX(T119:T132, P140, 1)</f>
        <v>0</v>
      </c>
      <c r="U140">
        <f>INDEX(U119:U132, P140, 1)</f>
        <v>0</v>
      </c>
      <c r="V140">
        <f>VLOOKUP(Q140,DATA_SUPPORT!$D$2:$E$51,2)</f>
        <v>0</v>
      </c>
      <c r="W140">
        <f>R140*DATA_SUPPORT!$G$5</f>
        <v>0</v>
      </c>
      <c r="X140">
        <f>S140*DATA_SUPPORT!$G$5</f>
        <v>0</v>
      </c>
      <c r="Y140">
        <f>T140*DATA_SUPPORT!$G$5</f>
        <v>0</v>
      </c>
      <c r="Z140">
        <f>U140*DATA_SUPPORT!$G$5</f>
        <v>0</v>
      </c>
      <c r="AA140">
        <f>CHAR(34) &amp; W137 &amp; CHAR(34) &amp; ":" &amp; W140 &amp; ", " &amp; CHAR(34) &amp; X137 &amp; CHAR(34) &amp; ":" &amp; X140 &amp; ", " &amp; CHAR(34) &amp; Y137 &amp; CHAR(34) &amp; ":" &amp; Y140 &amp; ", " &amp; CHAR(34) &amp; Z137 &amp; CHAR(34) &amp; ":" &amp; Z140</f>
        <v>0</v>
      </c>
    </row>
    <row r="141" spans="1:27">
      <c r="A141" t="s">
        <v>545</v>
      </c>
      <c r="B141" t="s">
        <v>674</v>
      </c>
      <c r="C141">
        <f>'CM'!A61</f>
        <v>0</v>
      </c>
      <c r="D141">
        <f>'CM'!H61</f>
        <v>0</v>
      </c>
      <c r="O141">
        <f>4</f>
        <v>0</v>
      </c>
      <c r="P141">
        <f>MATCH(O141, Y119:Y132, 0)</f>
        <v>0</v>
      </c>
      <c r="Q141">
        <f>INDEX(Q119:Q132, P141, 1)</f>
        <v>0</v>
      </c>
      <c r="R141">
        <f>INDEX(R119:R132, P141, 1)</f>
        <v>0</v>
      </c>
      <c r="S141">
        <f>INDEX(S119:S132, P141, 1)</f>
        <v>0</v>
      </c>
      <c r="T141">
        <f>INDEX(T119:T132, P141, 1)</f>
        <v>0</v>
      </c>
      <c r="U141">
        <f>INDEX(U119:U132, P141, 1)</f>
        <v>0</v>
      </c>
      <c r="V141">
        <f>VLOOKUP(Q141,DATA_SUPPORT!$D$2:$E$51,2)</f>
        <v>0</v>
      </c>
      <c r="W141">
        <f>R141*DATA_SUPPORT!$G$5</f>
        <v>0</v>
      </c>
      <c r="X141">
        <f>S141*DATA_SUPPORT!$G$5</f>
        <v>0</v>
      </c>
      <c r="Y141">
        <f>T141*DATA_SUPPORT!$G$5</f>
        <v>0</v>
      </c>
      <c r="Z141">
        <f>U141*DATA_SUPPORT!$G$5</f>
        <v>0</v>
      </c>
      <c r="AA141">
        <f>CHAR(34) &amp; W137 &amp; CHAR(34) &amp; ":" &amp; W141 &amp; ", " &amp; CHAR(34) &amp; X137 &amp; CHAR(34) &amp; ":" &amp; X141 &amp; ", " &amp; CHAR(34) &amp; Y137 &amp; CHAR(34) &amp; ":" &amp; Y141 &amp; ", " &amp; CHAR(34) &amp; Z137 &amp; CHAR(34) &amp; ":" &amp; Z141</f>
        <v>0</v>
      </c>
    </row>
    <row r="142" spans="1:27">
      <c r="A142" t="s">
        <v>545</v>
      </c>
      <c r="B142" t="s">
        <v>674</v>
      </c>
      <c r="C142">
        <f>'CM'!A62</f>
        <v>0</v>
      </c>
      <c r="D142">
        <f>'CM'!H62</f>
        <v>0</v>
      </c>
      <c r="O142">
        <f>5</f>
        <v>0</v>
      </c>
      <c r="P142">
        <f>MATCH(O142, Y119:Y132, 0)</f>
        <v>0</v>
      </c>
      <c r="Q142">
        <f>INDEX(Q119:Q132, P142, 1)</f>
        <v>0</v>
      </c>
      <c r="R142">
        <f>INDEX(R119:R132, P142, 1)</f>
        <v>0</v>
      </c>
      <c r="S142">
        <f>INDEX(S119:S132, P142, 1)</f>
        <v>0</v>
      </c>
      <c r="T142">
        <f>INDEX(T119:T132, P142, 1)</f>
        <v>0</v>
      </c>
      <c r="U142">
        <f>INDEX(U119:U132, P142, 1)</f>
        <v>0</v>
      </c>
      <c r="V142">
        <f>VLOOKUP(Q142,DATA_SUPPORT!$D$2:$E$51,2)</f>
        <v>0</v>
      </c>
      <c r="W142">
        <f>R142*DATA_SUPPORT!$G$5</f>
        <v>0</v>
      </c>
      <c r="X142">
        <f>S142*DATA_SUPPORT!$G$5</f>
        <v>0</v>
      </c>
      <c r="Y142">
        <f>T142*DATA_SUPPORT!$G$5</f>
        <v>0</v>
      </c>
      <c r="Z142">
        <f>U142*DATA_SUPPORT!$G$5</f>
        <v>0</v>
      </c>
      <c r="AA142">
        <f>CHAR(34) &amp; W137 &amp; CHAR(34) &amp; ":" &amp; W142 &amp; ", " &amp; CHAR(34) &amp; X137 &amp; CHAR(34) &amp; ":" &amp; X142 &amp; ", " &amp; CHAR(34) &amp; Y137 &amp; CHAR(34) &amp; ":" &amp; Y142 &amp; ", " &amp; CHAR(34) &amp; Z137 &amp; CHAR(34) &amp; ":" &amp; Z142</f>
        <v>0</v>
      </c>
    </row>
    <row r="143" spans="1:27">
      <c r="A143" t="s">
        <v>545</v>
      </c>
      <c r="B143" t="s">
        <v>674</v>
      </c>
      <c r="C143">
        <f>'CM'!A63</f>
        <v>0</v>
      </c>
      <c r="D143">
        <f>'CM'!H63</f>
        <v>0</v>
      </c>
      <c r="O143">
        <f>6</f>
        <v>0</v>
      </c>
      <c r="P143">
        <f>MATCH(O143, Y119:Y132, 0)</f>
        <v>0</v>
      </c>
      <c r="Q143">
        <f>INDEX(Q119:Q132, P143, 1)</f>
        <v>0</v>
      </c>
      <c r="R143">
        <f>INDEX(R119:R132, P143, 1)</f>
        <v>0</v>
      </c>
      <c r="S143">
        <f>INDEX(S119:S132, P143, 1)</f>
        <v>0</v>
      </c>
      <c r="T143">
        <f>INDEX(T119:T132, P143, 1)</f>
        <v>0</v>
      </c>
      <c r="U143">
        <f>INDEX(U119:U132, P143, 1)</f>
        <v>0</v>
      </c>
      <c r="V143">
        <f>VLOOKUP(Q143,DATA_SUPPORT!$D$2:$E$51,2)</f>
        <v>0</v>
      </c>
      <c r="W143">
        <f>R143*DATA_SUPPORT!$G$5</f>
        <v>0</v>
      </c>
      <c r="X143">
        <f>S143*DATA_SUPPORT!$G$5</f>
        <v>0</v>
      </c>
      <c r="Y143">
        <f>T143*DATA_SUPPORT!$G$5</f>
        <v>0</v>
      </c>
      <c r="Z143">
        <f>U143*DATA_SUPPORT!$G$5</f>
        <v>0</v>
      </c>
      <c r="AA143">
        <f>CHAR(34) &amp; W137 &amp; CHAR(34) &amp; ":" &amp; W143 &amp; ", " &amp; CHAR(34) &amp; X137 &amp; CHAR(34) &amp; ":" &amp; X143 &amp; ", " &amp; CHAR(34) &amp; Y137 &amp; CHAR(34) &amp; ":" &amp; Y143 &amp; ", " &amp; CHAR(34) &amp; Z137 &amp; CHAR(34) &amp; ":" &amp; Z143</f>
        <v>0</v>
      </c>
    </row>
    <row r="144" spans="1:27">
      <c r="A144" t="s">
        <v>545</v>
      </c>
      <c r="B144" t="s">
        <v>674</v>
      </c>
      <c r="C144">
        <f>'CM'!A64</f>
        <v>0</v>
      </c>
      <c r="D144">
        <f>'CM'!H64</f>
        <v>0</v>
      </c>
      <c r="O144">
        <f>7</f>
        <v>0</v>
      </c>
      <c r="P144">
        <f>MATCH(O144, Y119:Y132, 0)</f>
        <v>0</v>
      </c>
      <c r="Q144">
        <f>INDEX(Q119:Q132, P144, 1)</f>
        <v>0</v>
      </c>
      <c r="R144">
        <f>INDEX(R119:R132, P144, 1)</f>
        <v>0</v>
      </c>
      <c r="S144">
        <f>INDEX(S119:S132, P144, 1)</f>
        <v>0</v>
      </c>
      <c r="T144">
        <f>INDEX(T119:T132, P144, 1)</f>
        <v>0</v>
      </c>
      <c r="U144">
        <f>INDEX(U119:U132, P144, 1)</f>
        <v>0</v>
      </c>
      <c r="V144">
        <f>VLOOKUP(Q144,DATA_SUPPORT!$D$2:$E$51,2)</f>
        <v>0</v>
      </c>
      <c r="W144">
        <f>R144*DATA_SUPPORT!$G$5</f>
        <v>0</v>
      </c>
      <c r="X144">
        <f>S144*DATA_SUPPORT!$G$5</f>
        <v>0</v>
      </c>
      <c r="Y144">
        <f>T144*DATA_SUPPORT!$G$5</f>
        <v>0</v>
      </c>
      <c r="Z144">
        <f>U144*DATA_SUPPORT!$G$5</f>
        <v>0</v>
      </c>
      <c r="AA144">
        <f>CHAR(34) &amp; W137 &amp; CHAR(34) &amp; ":" &amp; W144 &amp; ", " &amp; CHAR(34) &amp; X137 &amp; CHAR(34) &amp; ":" &amp; X144 &amp; ", " &amp; CHAR(34) &amp; Y137 &amp; CHAR(34) &amp; ":" &amp; Y144 &amp; ", " &amp; CHAR(34) &amp; Z137 &amp; CHAR(34) &amp; ":" &amp; Z144</f>
        <v>0</v>
      </c>
    </row>
    <row r="145" spans="1:27">
      <c r="A145" t="s">
        <v>545</v>
      </c>
      <c r="B145" t="s">
        <v>674</v>
      </c>
      <c r="C145">
        <f>'CM'!A65</f>
        <v>0</v>
      </c>
      <c r="D145">
        <f>'CM'!H65</f>
        <v>0</v>
      </c>
      <c r="O145">
        <f>8</f>
        <v>0</v>
      </c>
      <c r="P145">
        <f>MATCH(O145, Y119:Y132, 0)</f>
        <v>0</v>
      </c>
      <c r="Q145">
        <f>INDEX(Q119:Q132, P145, 1)</f>
        <v>0</v>
      </c>
      <c r="R145">
        <f>INDEX(R119:R132, P145, 1)</f>
        <v>0</v>
      </c>
      <c r="S145">
        <f>INDEX(S119:S132, P145, 1)</f>
        <v>0</v>
      </c>
      <c r="T145">
        <f>INDEX(T119:T132, P145, 1)</f>
        <v>0</v>
      </c>
      <c r="U145">
        <f>INDEX(U119:U132, P145, 1)</f>
        <v>0</v>
      </c>
      <c r="V145">
        <f>VLOOKUP(Q145,DATA_SUPPORT!$D$2:$E$51,2)</f>
        <v>0</v>
      </c>
      <c r="W145">
        <f>R145*DATA_SUPPORT!$G$5</f>
        <v>0</v>
      </c>
      <c r="X145">
        <f>S145*DATA_SUPPORT!$G$5</f>
        <v>0</v>
      </c>
      <c r="Y145">
        <f>T145*DATA_SUPPORT!$G$5</f>
        <v>0</v>
      </c>
      <c r="Z145">
        <f>U145*DATA_SUPPORT!$G$5</f>
        <v>0</v>
      </c>
      <c r="AA145">
        <f>CHAR(34) &amp; W137 &amp; CHAR(34) &amp; ":" &amp; W145 &amp; ", " &amp; CHAR(34) &amp; X137 &amp; CHAR(34) &amp; ":" &amp; X145 &amp; ", " &amp; CHAR(34) &amp; Y137 &amp; CHAR(34) &amp; ":" &amp; Y145 &amp; ", " &amp; CHAR(34) &amp; Z137 &amp; CHAR(34) &amp; ":" &amp; Z145</f>
        <v>0</v>
      </c>
    </row>
    <row r="146" spans="1:27">
      <c r="A146" t="s">
        <v>545</v>
      </c>
      <c r="B146" t="s">
        <v>674</v>
      </c>
      <c r="C146">
        <f>'CM'!A66</f>
        <v>0</v>
      </c>
      <c r="D146">
        <f>'CM'!H66</f>
        <v>0</v>
      </c>
      <c r="O146">
        <f>9</f>
        <v>0</v>
      </c>
      <c r="P146">
        <f>MATCH(O146, Y119:Y132, 0)</f>
        <v>0</v>
      </c>
      <c r="Q146">
        <f>INDEX(Q119:Q132, P146, 1)</f>
        <v>0</v>
      </c>
      <c r="R146">
        <f>INDEX(R119:R132, P146, 1)</f>
        <v>0</v>
      </c>
      <c r="S146">
        <f>INDEX(S119:S132, P146, 1)</f>
        <v>0</v>
      </c>
      <c r="T146">
        <f>INDEX(T119:T132, P146, 1)</f>
        <v>0</v>
      </c>
      <c r="U146">
        <f>INDEX(U119:U132, P146, 1)</f>
        <v>0</v>
      </c>
      <c r="V146">
        <f>VLOOKUP(Q146,DATA_SUPPORT!$D$2:$E$51,2)</f>
        <v>0</v>
      </c>
      <c r="W146">
        <f>R146*DATA_SUPPORT!$G$5</f>
        <v>0</v>
      </c>
      <c r="X146">
        <f>S146*DATA_SUPPORT!$G$5</f>
        <v>0</v>
      </c>
      <c r="Y146">
        <f>T146*DATA_SUPPORT!$G$5</f>
        <v>0</v>
      </c>
      <c r="Z146">
        <f>U146*DATA_SUPPORT!$G$5</f>
        <v>0</v>
      </c>
      <c r="AA146">
        <f>CHAR(34) &amp; W137 &amp; CHAR(34) &amp; ":" &amp; W146 &amp; ", " &amp; CHAR(34) &amp; X137 &amp; CHAR(34) &amp; ":" &amp; X146 &amp; ", " &amp; CHAR(34) &amp; Y137 &amp; CHAR(34) &amp; ":" &amp; Y146 &amp; ", " &amp; CHAR(34) &amp; Z137 &amp; CHAR(34) &amp; ":" &amp; Z146</f>
        <v>0</v>
      </c>
    </row>
    <row r="147" spans="1:27">
      <c r="A147" t="s">
        <v>545</v>
      </c>
      <c r="B147" t="s">
        <v>674</v>
      </c>
      <c r="C147">
        <f>'CM'!A67</f>
        <v>0</v>
      </c>
      <c r="D147">
        <f>'CM'!H67</f>
        <v>0</v>
      </c>
      <c r="O147">
        <f>10</f>
        <v>0</v>
      </c>
      <c r="P147">
        <f>MATCH(O147, Y119:Y132, 0)</f>
        <v>0</v>
      </c>
      <c r="Q147">
        <f>INDEX(Q119:Q132, P147, 1)</f>
        <v>0</v>
      </c>
      <c r="R147">
        <f>INDEX(R119:R132, P147, 1)</f>
        <v>0</v>
      </c>
      <c r="S147">
        <f>INDEX(S119:S132, P147, 1)</f>
        <v>0</v>
      </c>
      <c r="T147">
        <f>INDEX(T119:T132, P147, 1)</f>
        <v>0</v>
      </c>
      <c r="U147">
        <f>INDEX(U119:U132, P147, 1)</f>
        <v>0</v>
      </c>
      <c r="V147">
        <f>VLOOKUP(Q147,DATA_SUPPORT!$D$2:$E$51,2)</f>
        <v>0</v>
      </c>
      <c r="W147">
        <f>R147*DATA_SUPPORT!$G$5</f>
        <v>0</v>
      </c>
      <c r="X147">
        <f>S147*DATA_SUPPORT!$G$5</f>
        <v>0</v>
      </c>
      <c r="Y147">
        <f>T147*DATA_SUPPORT!$G$5</f>
        <v>0</v>
      </c>
      <c r="Z147">
        <f>U147*DATA_SUPPORT!$G$5</f>
        <v>0</v>
      </c>
      <c r="AA147">
        <f>CHAR(34) &amp; W137 &amp; CHAR(34) &amp; ":" &amp; W147 &amp; ", " &amp; CHAR(34) &amp; X137 &amp; CHAR(34) &amp; ":" &amp; X147 &amp; ", " &amp; CHAR(34) &amp; Y137 &amp; CHAR(34) &amp; ":" &amp; Y147 &amp; ", " &amp; CHAR(34) &amp; Z137 &amp; CHAR(34) &amp; ":" &amp; Z147</f>
        <v>0</v>
      </c>
    </row>
    <row r="148" spans="1:27">
      <c r="A148" t="s">
        <v>545</v>
      </c>
      <c r="B148" t="s">
        <v>675</v>
      </c>
      <c r="C148">
        <f>'CM'!A71</f>
        <v>0</v>
      </c>
      <c r="D148">
        <f>'CM'!H71</f>
        <v>0</v>
      </c>
      <c r="O148">
        <f>11</f>
        <v>0</v>
      </c>
      <c r="P148">
        <f>MATCH(O148, Y119:Y132, 0)</f>
        <v>0</v>
      </c>
      <c r="Q148">
        <f>INDEX(Q119:Q132, P148, 1)</f>
        <v>0</v>
      </c>
      <c r="R148">
        <f>INDEX(R119:R132, P148, 1)</f>
        <v>0</v>
      </c>
      <c r="S148">
        <f>INDEX(S119:S132, P148, 1)</f>
        <v>0</v>
      </c>
      <c r="T148">
        <f>INDEX(T119:T132, P148, 1)</f>
        <v>0</v>
      </c>
      <c r="U148">
        <f>INDEX(U119:U132, P148, 1)</f>
        <v>0</v>
      </c>
      <c r="V148">
        <f>VLOOKUP(Q148,DATA_SUPPORT!$D$2:$E$51,2)</f>
        <v>0</v>
      </c>
      <c r="W148">
        <f>R148*DATA_SUPPORT!$G$5</f>
        <v>0</v>
      </c>
      <c r="X148">
        <f>S148*DATA_SUPPORT!$G$5</f>
        <v>0</v>
      </c>
      <c r="Y148">
        <f>T148*DATA_SUPPORT!$G$5</f>
        <v>0</v>
      </c>
      <c r="Z148">
        <f>U148*DATA_SUPPORT!$G$5</f>
        <v>0</v>
      </c>
      <c r="AA148">
        <f>CHAR(34) &amp; W137 &amp; CHAR(34) &amp; ":" &amp; W148 &amp; ", " &amp; CHAR(34) &amp; X137 &amp; CHAR(34) &amp; ":" &amp; X148 &amp; ", " &amp; CHAR(34) &amp; Y137 &amp; CHAR(34) &amp; ":" &amp; Y148 &amp; ", " &amp; CHAR(34) &amp; Z137 &amp; CHAR(34) &amp; ":" &amp; Z148</f>
        <v>0</v>
      </c>
    </row>
    <row r="149" spans="1:27">
      <c r="A149" t="s">
        <v>545</v>
      </c>
      <c r="B149" t="s">
        <v>675</v>
      </c>
      <c r="C149">
        <f>'CM'!A72</f>
        <v>0</v>
      </c>
      <c r="D149">
        <f>'CM'!H72</f>
        <v>0</v>
      </c>
      <c r="O149">
        <f>12</f>
        <v>0</v>
      </c>
      <c r="P149">
        <f>MATCH(O149, Y119:Y132, 0)</f>
        <v>0</v>
      </c>
      <c r="Q149">
        <f>INDEX(Q119:Q132, P149, 1)</f>
        <v>0</v>
      </c>
      <c r="R149">
        <f>INDEX(R119:R132, P149, 1)</f>
        <v>0</v>
      </c>
      <c r="S149">
        <f>INDEX(S119:S132, P149, 1)</f>
        <v>0</v>
      </c>
      <c r="T149">
        <f>INDEX(T119:T132, P149, 1)</f>
        <v>0</v>
      </c>
      <c r="U149">
        <f>INDEX(U119:U132, P149, 1)</f>
        <v>0</v>
      </c>
      <c r="V149">
        <f>VLOOKUP(Q149,DATA_SUPPORT!$D$2:$E$51,2)</f>
        <v>0</v>
      </c>
      <c r="W149">
        <f>R149*DATA_SUPPORT!$G$5</f>
        <v>0</v>
      </c>
      <c r="X149">
        <f>S149*DATA_SUPPORT!$G$5</f>
        <v>0</v>
      </c>
      <c r="Y149">
        <f>T149*DATA_SUPPORT!$G$5</f>
        <v>0</v>
      </c>
      <c r="Z149">
        <f>U149*DATA_SUPPORT!$G$5</f>
        <v>0</v>
      </c>
      <c r="AA149">
        <f>CHAR(34) &amp; W137 &amp; CHAR(34) &amp; ":" &amp; W149 &amp; ", " &amp; CHAR(34) &amp; X137 &amp; CHAR(34) &amp; ":" &amp; X149 &amp; ", " &amp; CHAR(34) &amp; Y137 &amp; CHAR(34) &amp; ":" &amp; Y149 &amp; ", " &amp; CHAR(34) &amp; Z137 &amp; CHAR(34) &amp; ":" &amp; Z149</f>
        <v>0</v>
      </c>
    </row>
    <row r="150" spans="1:27">
      <c r="A150" t="s">
        <v>545</v>
      </c>
      <c r="B150" t="s">
        <v>675</v>
      </c>
      <c r="C150">
        <f>'CM'!A73</f>
        <v>0</v>
      </c>
      <c r="D150">
        <f>'CM'!H73</f>
        <v>0</v>
      </c>
      <c r="O150">
        <f>13</f>
        <v>0</v>
      </c>
      <c r="P150">
        <f>MATCH(O150, Y119:Y132, 0)</f>
        <v>0</v>
      </c>
      <c r="Q150">
        <f>INDEX(Q119:Q132, P150, 1)</f>
        <v>0</v>
      </c>
      <c r="R150">
        <f>INDEX(R119:R132, P150, 1)</f>
        <v>0</v>
      </c>
      <c r="S150">
        <f>INDEX(S119:S132, P150, 1)</f>
        <v>0</v>
      </c>
      <c r="T150">
        <f>INDEX(T119:T132, P150, 1)</f>
        <v>0</v>
      </c>
      <c r="U150">
        <f>INDEX(U119:U132, P150, 1)</f>
        <v>0</v>
      </c>
      <c r="V150">
        <f>VLOOKUP(Q150,DATA_SUPPORT!$D$2:$E$51,2)</f>
        <v>0</v>
      </c>
      <c r="W150">
        <f>R150*DATA_SUPPORT!$G$5</f>
        <v>0</v>
      </c>
      <c r="X150">
        <f>S150*DATA_SUPPORT!$G$5</f>
        <v>0</v>
      </c>
      <c r="Y150">
        <f>T150*DATA_SUPPORT!$G$5</f>
        <v>0</v>
      </c>
      <c r="Z150">
        <f>U150*DATA_SUPPORT!$G$5</f>
        <v>0</v>
      </c>
      <c r="AA150">
        <f>CHAR(34) &amp; W137 &amp; CHAR(34) &amp; ":" &amp; W150 &amp; ", " &amp; CHAR(34) &amp; X137 &amp; CHAR(34) &amp; ":" &amp; X150 &amp; ", " &amp; CHAR(34) &amp; Y137 &amp; CHAR(34) &amp; ":" &amp; Y150 &amp; ", " &amp; CHAR(34) &amp; Z137 &amp; CHAR(34) &amp; ":" &amp; Z150</f>
        <v>0</v>
      </c>
    </row>
    <row r="151" spans="1:27">
      <c r="A151" t="s">
        <v>545</v>
      </c>
      <c r="B151" t="s">
        <v>676</v>
      </c>
      <c r="C151">
        <f>'CM'!A77</f>
        <v>0</v>
      </c>
      <c r="D151">
        <f>'CM'!H77</f>
        <v>0</v>
      </c>
      <c r="O151">
        <f>14</f>
        <v>0</v>
      </c>
      <c r="P151">
        <f>MATCH(O151, Y119:Y132, 0)</f>
        <v>0</v>
      </c>
      <c r="Q151">
        <f>INDEX(Q119:Q132, P151, 1)</f>
        <v>0</v>
      </c>
      <c r="R151">
        <f>INDEX(R119:R132, P151, 1)</f>
        <v>0</v>
      </c>
      <c r="S151">
        <f>INDEX(S119:S132, P151, 1)</f>
        <v>0</v>
      </c>
      <c r="T151">
        <f>INDEX(T119:T132, P151, 1)</f>
        <v>0</v>
      </c>
      <c r="U151">
        <f>INDEX(U119:U132, P151, 1)</f>
        <v>0</v>
      </c>
      <c r="V151">
        <f>VLOOKUP(Q151,DATA_SUPPORT!$D$2:$E$51,2)</f>
        <v>0</v>
      </c>
      <c r="W151">
        <f>R151*DATA_SUPPORT!$G$5</f>
        <v>0</v>
      </c>
      <c r="X151">
        <f>S151*DATA_SUPPORT!$G$5</f>
        <v>0</v>
      </c>
      <c r="Y151">
        <f>T151*DATA_SUPPORT!$G$5</f>
        <v>0</v>
      </c>
      <c r="Z151">
        <f>U151*DATA_SUPPORT!$G$5</f>
        <v>0</v>
      </c>
      <c r="AA151">
        <f>CHAR(34) &amp; W137 &amp; CHAR(34) &amp; ":" &amp; W151 &amp; ", " &amp; CHAR(34) &amp; X137 &amp; CHAR(34) &amp; ":" &amp; X151 &amp; ", " &amp; CHAR(34) &amp; Y137 &amp; CHAR(34) &amp; ":" &amp; Y151 &amp; ", " &amp; CHAR(34) &amp; Z137 &amp; CHAR(34) &amp; ":" &amp; Z151</f>
        <v>0</v>
      </c>
    </row>
    <row r="152" spans="1:27">
      <c r="A152" t="s">
        <v>545</v>
      </c>
      <c r="B152" t="s">
        <v>676</v>
      </c>
      <c r="C152">
        <f>'CM'!A78</f>
        <v>0</v>
      </c>
      <c r="D152">
        <f>'CM'!H78</f>
        <v>0</v>
      </c>
    </row>
    <row r="153" spans="1:27">
      <c r="A153" t="s">
        <v>545</v>
      </c>
      <c r="B153" t="s">
        <v>676</v>
      </c>
      <c r="C153">
        <f>'CM'!A79</f>
        <v>0</v>
      </c>
      <c r="D153">
        <f>'CM'!H79</f>
        <v>0</v>
      </c>
    </row>
    <row r="154" spans="1:27">
      <c r="A154" t="s">
        <v>554</v>
      </c>
      <c r="B154" t="s">
        <v>677</v>
      </c>
      <c r="C154">
        <f>'IA'!A12</f>
        <v>0</v>
      </c>
      <c r="D154">
        <f>'IA'!H12</f>
        <v>0</v>
      </c>
      <c r="V154">
        <f>"{" &amp; char(34)&amp;V138&amp;char(34)&amp;": {"&amp;AA138&amp;"}" &amp;", "  &amp; char(34)&amp;V139&amp;char(34)&amp;": {"&amp;AA139&amp;"}" &amp;", "  &amp; char(34)&amp;V140&amp;char(34)&amp;": {"&amp;AA140&amp;"}" &amp;", "  &amp; char(34)&amp;V141&amp;char(34)&amp;": {"&amp;AA141&amp;"}" &amp;", "  &amp; char(34)&amp;V142&amp;char(34)&amp;": {"&amp;AA142&amp;"}" &amp;", "  &amp; char(34)&amp;V143&amp;char(34)&amp;": {"&amp;AA143&amp;"}" &amp;", "  &amp; char(34)&amp;V144&amp;char(34)&amp;": {"&amp;AA144&amp;"}" &amp;", "  &amp; char(34)&amp;V145&amp;char(34)&amp;": {"&amp;AA145&amp;"}" &amp;", "  &amp; char(34)&amp;V146&amp;char(34)&amp;": {"&amp;AA146&amp;"}" &amp;", "  &amp; char(34)&amp;V147&amp;char(34)&amp;": {"&amp;AA147&amp;"}" &amp;", "  &amp; char(34)&amp;V148&amp;char(34)&amp;": {"&amp;AA148&amp;"}" &amp;", "  &amp; char(34)&amp;V149&amp;char(34)&amp;": {"&amp;AA149&amp;"}" &amp;", "  &amp; char(34)&amp;V150&amp;char(34)&amp;": {"&amp;AA150&amp;"}" &amp;", "  &amp; char(34)&amp;V151&amp;char(34)&amp;": {"&amp;AA151&amp;"}"  &amp; "}"</f>
        <v>0</v>
      </c>
    </row>
    <row r="155" spans="1:27">
      <c r="A155" t="s">
        <v>554</v>
      </c>
      <c r="B155" t="s">
        <v>677</v>
      </c>
      <c r="C155">
        <f>'IA'!A13</f>
        <v>0</v>
      </c>
      <c r="D155">
        <f>'IA'!H13</f>
        <v>0</v>
      </c>
    </row>
    <row r="156" spans="1:27">
      <c r="A156" t="s">
        <v>554</v>
      </c>
      <c r="B156" t="s">
        <v>677</v>
      </c>
      <c r="C156">
        <f>'IA'!A14</f>
        <v>0</v>
      </c>
      <c r="D156">
        <f>'IA'!H14</f>
        <v>0</v>
      </c>
    </row>
    <row r="157" spans="1:27">
      <c r="A157" t="s">
        <v>554</v>
      </c>
      <c r="B157" t="s">
        <v>678</v>
      </c>
      <c r="C157">
        <f>'IA'!A18</f>
        <v>0</v>
      </c>
      <c r="D157">
        <f>'IA'!H18</f>
        <v>0</v>
      </c>
    </row>
    <row r="158" spans="1:27">
      <c r="A158" t="s">
        <v>554</v>
      </c>
      <c r="B158" t="s">
        <v>678</v>
      </c>
      <c r="C158">
        <f>'IA'!A19</f>
        <v>0</v>
      </c>
      <c r="D158">
        <f>'IA'!H19</f>
        <v>0</v>
      </c>
    </row>
    <row r="159" spans="1:27">
      <c r="A159" t="s">
        <v>554</v>
      </c>
      <c r="B159" t="s">
        <v>678</v>
      </c>
      <c r="C159">
        <f>'IA'!A20</f>
        <v>0</v>
      </c>
      <c r="D159">
        <f>'IA'!H20</f>
        <v>0</v>
      </c>
    </row>
    <row r="160" spans="1:27">
      <c r="A160" t="s">
        <v>554</v>
      </c>
      <c r="B160" t="s">
        <v>679</v>
      </c>
      <c r="C160">
        <f>'IA'!A24</f>
        <v>0</v>
      </c>
      <c r="D160">
        <f>'IA'!H24</f>
        <v>0</v>
      </c>
    </row>
    <row r="161" spans="1:4">
      <c r="A161" t="s">
        <v>554</v>
      </c>
      <c r="B161" t="s">
        <v>679</v>
      </c>
      <c r="C161">
        <f>'IA'!A25</f>
        <v>0</v>
      </c>
      <c r="D161">
        <f>'IA'!H25</f>
        <v>0</v>
      </c>
    </row>
    <row r="162" spans="1:4">
      <c r="A162" t="s">
        <v>554</v>
      </c>
      <c r="B162" t="s">
        <v>680</v>
      </c>
      <c r="C162">
        <f>'IA'!A29</f>
        <v>0</v>
      </c>
      <c r="D162">
        <f>'IA'!H29</f>
        <v>0</v>
      </c>
    </row>
    <row r="163" spans="1:4">
      <c r="A163" t="s">
        <v>554</v>
      </c>
      <c r="B163" t="s">
        <v>681</v>
      </c>
      <c r="C163">
        <f>'IA'!A33</f>
        <v>0</v>
      </c>
      <c r="D163">
        <f>'IA'!H33</f>
        <v>0</v>
      </c>
    </row>
    <row r="164" spans="1:4">
      <c r="A164" t="s">
        <v>554</v>
      </c>
      <c r="B164" t="s">
        <v>681</v>
      </c>
      <c r="C164">
        <f>'IA'!A34</f>
        <v>0</v>
      </c>
      <c r="D164">
        <f>'IA'!H34</f>
        <v>0</v>
      </c>
    </row>
    <row r="165" spans="1:4">
      <c r="A165" t="s">
        <v>554</v>
      </c>
      <c r="B165" t="s">
        <v>681</v>
      </c>
      <c r="C165">
        <f>'IA'!A35</f>
        <v>0</v>
      </c>
      <c r="D165">
        <f>'IA'!H35</f>
        <v>0</v>
      </c>
    </row>
    <row r="166" spans="1:4">
      <c r="A166" t="s">
        <v>554</v>
      </c>
      <c r="B166" t="s">
        <v>681</v>
      </c>
      <c r="C166">
        <f>'IA'!A36</f>
        <v>0</v>
      </c>
      <c r="D166">
        <f>'IA'!H36</f>
        <v>0</v>
      </c>
    </row>
    <row r="167" spans="1:4">
      <c r="A167" t="s">
        <v>554</v>
      </c>
      <c r="B167" t="s">
        <v>682</v>
      </c>
      <c r="C167">
        <f>'IA'!A40</f>
        <v>0</v>
      </c>
      <c r="D167">
        <f>'IA'!H40</f>
        <v>0</v>
      </c>
    </row>
    <row r="168" spans="1:4">
      <c r="A168" t="s">
        <v>554</v>
      </c>
      <c r="B168" t="s">
        <v>683</v>
      </c>
      <c r="C168">
        <f>'IA'!A44</f>
        <v>0</v>
      </c>
      <c r="D168">
        <f>'IA'!H44</f>
        <v>0</v>
      </c>
    </row>
    <row r="169" spans="1:4">
      <c r="A169" t="s">
        <v>554</v>
      </c>
      <c r="B169" t="s">
        <v>683</v>
      </c>
      <c r="C169">
        <f>'IA'!A45</f>
        <v>0</v>
      </c>
      <c r="D169">
        <f>'IA'!H45</f>
        <v>0</v>
      </c>
    </row>
    <row r="170" spans="1:4">
      <c r="A170" t="s">
        <v>554</v>
      </c>
      <c r="B170" t="s">
        <v>684</v>
      </c>
      <c r="C170">
        <f>'IA'!A49</f>
        <v>0</v>
      </c>
      <c r="D170">
        <f>'IA'!H49</f>
        <v>0</v>
      </c>
    </row>
    <row r="171" spans="1:4">
      <c r="A171" t="s">
        <v>554</v>
      </c>
      <c r="B171" t="s">
        <v>684</v>
      </c>
      <c r="C171">
        <f>'IA'!A50</f>
        <v>0</v>
      </c>
      <c r="D171">
        <f>'IA'!H50</f>
        <v>0</v>
      </c>
    </row>
    <row r="172" spans="1:4">
      <c r="A172" t="s">
        <v>554</v>
      </c>
      <c r="B172" t="s">
        <v>685</v>
      </c>
      <c r="C172">
        <f>'IA'!A54</f>
        <v>0</v>
      </c>
      <c r="D172">
        <f>'IA'!H54</f>
        <v>0</v>
      </c>
    </row>
    <row r="173" spans="1:4">
      <c r="A173" t="s">
        <v>554</v>
      </c>
      <c r="B173" t="s">
        <v>685</v>
      </c>
      <c r="C173">
        <f>'IA'!A55</f>
        <v>0</v>
      </c>
      <c r="D173">
        <f>'IA'!H55</f>
        <v>0</v>
      </c>
    </row>
    <row r="174" spans="1:4">
      <c r="A174" t="s">
        <v>554</v>
      </c>
      <c r="B174" t="s">
        <v>685</v>
      </c>
      <c r="C174">
        <f>'IA'!A56</f>
        <v>0</v>
      </c>
      <c r="D174">
        <f>'IA'!H56</f>
        <v>0</v>
      </c>
    </row>
    <row r="175" spans="1:4">
      <c r="A175" t="s">
        <v>554</v>
      </c>
      <c r="B175" t="s">
        <v>685</v>
      </c>
      <c r="C175">
        <f>'IA'!A57</f>
        <v>0</v>
      </c>
      <c r="D175">
        <f>'IA'!H57</f>
        <v>0</v>
      </c>
    </row>
    <row r="176" spans="1:4">
      <c r="A176" t="s">
        <v>554</v>
      </c>
      <c r="B176" t="s">
        <v>686</v>
      </c>
      <c r="C176">
        <f>'IA'!A61</f>
        <v>0</v>
      </c>
      <c r="D176">
        <f>'IA'!H61</f>
        <v>0</v>
      </c>
    </row>
    <row r="177" spans="1:4">
      <c r="A177" t="s">
        <v>554</v>
      </c>
      <c r="B177" t="s">
        <v>686</v>
      </c>
      <c r="C177">
        <f>'IA'!A62</f>
        <v>0</v>
      </c>
      <c r="D177">
        <f>'IA'!H62</f>
        <v>0</v>
      </c>
    </row>
    <row r="178" spans="1:4">
      <c r="A178" t="s">
        <v>554</v>
      </c>
      <c r="B178" t="s">
        <v>687</v>
      </c>
      <c r="C178">
        <f>'IA'!A66</f>
        <v>0</v>
      </c>
      <c r="D178">
        <f>'IA'!H66</f>
        <v>0</v>
      </c>
    </row>
    <row r="179" spans="1:4">
      <c r="A179" t="s">
        <v>556</v>
      </c>
      <c r="B179" t="s">
        <v>688</v>
      </c>
      <c r="C179">
        <f>'IR'!A12</f>
        <v>0</v>
      </c>
      <c r="D179">
        <f>'IR'!H12</f>
        <v>0</v>
      </c>
    </row>
    <row r="180" spans="1:4">
      <c r="A180" t="s">
        <v>556</v>
      </c>
      <c r="B180" t="s">
        <v>688</v>
      </c>
      <c r="C180">
        <f>'IR'!A13</f>
        <v>0</v>
      </c>
      <c r="D180">
        <f>'IR'!H13</f>
        <v>0</v>
      </c>
    </row>
    <row r="181" spans="1:4">
      <c r="A181" t="s">
        <v>556</v>
      </c>
      <c r="B181" t="s">
        <v>688</v>
      </c>
      <c r="C181">
        <f>'IR'!A14</f>
        <v>0</v>
      </c>
      <c r="D181">
        <f>'IR'!H14</f>
        <v>0</v>
      </c>
    </row>
    <row r="182" spans="1:4">
      <c r="A182" t="s">
        <v>556</v>
      </c>
      <c r="B182" t="s">
        <v>688</v>
      </c>
      <c r="C182">
        <f>'IR'!A15</f>
        <v>0</v>
      </c>
      <c r="D182">
        <f>'IR'!H15</f>
        <v>0</v>
      </c>
    </row>
    <row r="183" spans="1:4">
      <c r="A183" t="s">
        <v>556</v>
      </c>
      <c r="B183" t="s">
        <v>688</v>
      </c>
      <c r="C183">
        <f>'IR'!A16</f>
        <v>0</v>
      </c>
      <c r="D183">
        <f>'IR'!H16</f>
        <v>0</v>
      </c>
    </row>
    <row r="184" spans="1:4">
      <c r="A184" t="s">
        <v>556</v>
      </c>
      <c r="B184" t="s">
        <v>688</v>
      </c>
      <c r="C184">
        <f>'IR'!A17</f>
        <v>0</v>
      </c>
      <c r="D184">
        <f>'IR'!H17</f>
        <v>0</v>
      </c>
    </row>
    <row r="185" spans="1:4">
      <c r="A185" t="s">
        <v>556</v>
      </c>
      <c r="B185" t="s">
        <v>688</v>
      </c>
      <c r="C185">
        <f>'IR'!A18</f>
        <v>0</v>
      </c>
      <c r="D185">
        <f>'IR'!H18</f>
        <v>0</v>
      </c>
    </row>
    <row r="186" spans="1:4">
      <c r="A186" t="s">
        <v>556</v>
      </c>
      <c r="B186" t="s">
        <v>689</v>
      </c>
      <c r="C186">
        <f>'IR'!A22</f>
        <v>0</v>
      </c>
      <c r="D186">
        <f>'IR'!H22</f>
        <v>0</v>
      </c>
    </row>
    <row r="187" spans="1:4">
      <c r="A187" t="s">
        <v>556</v>
      </c>
      <c r="B187" t="s">
        <v>689</v>
      </c>
      <c r="C187">
        <f>'IR'!A23</f>
        <v>0</v>
      </c>
      <c r="D187">
        <f>'IR'!H23</f>
        <v>0</v>
      </c>
    </row>
    <row r="188" spans="1:4">
      <c r="A188" t="s">
        <v>556</v>
      </c>
      <c r="B188" t="s">
        <v>689</v>
      </c>
      <c r="C188">
        <f>'IR'!A24</f>
        <v>0</v>
      </c>
      <c r="D188">
        <f>'IR'!H24</f>
        <v>0</v>
      </c>
    </row>
    <row r="189" spans="1:4">
      <c r="A189" t="s">
        <v>556</v>
      </c>
      <c r="B189" t="s">
        <v>689</v>
      </c>
      <c r="C189">
        <f>'IR'!A25</f>
        <v>0</v>
      </c>
      <c r="D189">
        <f>'IR'!H25</f>
        <v>0</v>
      </c>
    </row>
    <row r="190" spans="1:4">
      <c r="A190" t="s">
        <v>556</v>
      </c>
      <c r="B190" t="s">
        <v>689</v>
      </c>
      <c r="C190">
        <f>'IR'!A26</f>
        <v>0</v>
      </c>
      <c r="D190">
        <f>'IR'!H26</f>
        <v>0</v>
      </c>
    </row>
    <row r="191" spans="1:4">
      <c r="A191" t="s">
        <v>556</v>
      </c>
      <c r="B191" t="s">
        <v>689</v>
      </c>
      <c r="C191">
        <f>'IR'!A27</f>
        <v>0</v>
      </c>
      <c r="D191">
        <f>'IR'!H27</f>
        <v>0</v>
      </c>
    </row>
    <row r="192" spans="1:4">
      <c r="A192" t="s">
        <v>556</v>
      </c>
      <c r="B192" t="s">
        <v>690</v>
      </c>
      <c r="C192">
        <f>'IR'!A31</f>
        <v>0</v>
      </c>
      <c r="D192">
        <f>'IR'!H31</f>
        <v>0</v>
      </c>
    </row>
    <row r="193" spans="1:4">
      <c r="A193" t="s">
        <v>561</v>
      </c>
      <c r="B193" t="s">
        <v>691</v>
      </c>
      <c r="C193">
        <f>'MA'!A12</f>
        <v>0</v>
      </c>
      <c r="D193">
        <f>'MA'!H12</f>
        <v>0</v>
      </c>
    </row>
    <row r="194" spans="1:4">
      <c r="A194" t="s">
        <v>561</v>
      </c>
      <c r="B194" t="s">
        <v>692</v>
      </c>
      <c r="C194">
        <f>'MA'!A16</f>
        <v>0</v>
      </c>
      <c r="D194">
        <f>'MA'!H16</f>
        <v>0</v>
      </c>
    </row>
    <row r="195" spans="1:4">
      <c r="A195" t="s">
        <v>561</v>
      </c>
      <c r="B195" t="s">
        <v>692</v>
      </c>
      <c r="C195">
        <f>'MA'!A17</f>
        <v>0</v>
      </c>
      <c r="D195">
        <f>'MA'!H17</f>
        <v>0</v>
      </c>
    </row>
    <row r="196" spans="1:4">
      <c r="A196" t="s">
        <v>561</v>
      </c>
      <c r="B196" t="s">
        <v>692</v>
      </c>
      <c r="C196">
        <f>'MA'!A18</f>
        <v>0</v>
      </c>
      <c r="D196">
        <f>'MA'!H18</f>
        <v>0</v>
      </c>
    </row>
    <row r="197" spans="1:4">
      <c r="A197" t="s">
        <v>561</v>
      </c>
      <c r="B197" t="s">
        <v>692</v>
      </c>
      <c r="C197">
        <f>'MA'!A19</f>
        <v>0</v>
      </c>
      <c r="D197">
        <f>'MA'!H19</f>
        <v>0</v>
      </c>
    </row>
    <row r="198" spans="1:4">
      <c r="A198" t="s">
        <v>561</v>
      </c>
      <c r="B198" t="s">
        <v>693</v>
      </c>
      <c r="C198">
        <f>'MA'!A23</f>
        <v>0</v>
      </c>
      <c r="D198">
        <f>'MA'!H23</f>
        <v>0</v>
      </c>
    </row>
    <row r="199" spans="1:4">
      <c r="A199" t="s">
        <v>561</v>
      </c>
      <c r="B199" t="s">
        <v>694</v>
      </c>
      <c r="C199">
        <f>'MA'!A27</f>
        <v>0</v>
      </c>
      <c r="D199">
        <f>'MA'!H27</f>
        <v>0</v>
      </c>
    </row>
    <row r="200" spans="1:4">
      <c r="A200" t="s">
        <v>561</v>
      </c>
      <c r="B200" t="s">
        <v>695</v>
      </c>
      <c r="C200">
        <f>'MA'!A31</f>
        <v>0</v>
      </c>
      <c r="D200">
        <f>'MA'!H31</f>
        <v>0</v>
      </c>
    </row>
    <row r="201" spans="1:4">
      <c r="A201" t="s">
        <v>561</v>
      </c>
      <c r="B201" t="s">
        <v>695</v>
      </c>
      <c r="C201">
        <f>'MA'!A32</f>
        <v>0</v>
      </c>
      <c r="D201">
        <f>'MA'!H32</f>
        <v>0</v>
      </c>
    </row>
    <row r="202" spans="1:4">
      <c r="A202" t="s">
        <v>561</v>
      </c>
      <c r="B202" t="s">
        <v>696</v>
      </c>
      <c r="C202">
        <f>'MA'!A36</f>
        <v>0</v>
      </c>
      <c r="D202">
        <f>'MA'!H36</f>
        <v>0</v>
      </c>
    </row>
    <row r="203" spans="1:4">
      <c r="A203" t="s">
        <v>563</v>
      </c>
      <c r="B203" t="s">
        <v>697</v>
      </c>
      <c r="C203">
        <f>'MP'!A12</f>
        <v>0</v>
      </c>
      <c r="D203">
        <f>'MP'!H12</f>
        <v>0</v>
      </c>
    </row>
    <row r="204" spans="1:4">
      <c r="A204" t="s">
        <v>563</v>
      </c>
      <c r="B204" t="s">
        <v>697</v>
      </c>
      <c r="C204">
        <f>'MP'!A13</f>
        <v>0</v>
      </c>
      <c r="D204">
        <f>'MP'!H13</f>
        <v>0</v>
      </c>
    </row>
    <row r="205" spans="1:4">
      <c r="A205" t="s">
        <v>563</v>
      </c>
      <c r="B205" t="s">
        <v>698</v>
      </c>
      <c r="C205">
        <f>'MP'!A17</f>
        <v>0</v>
      </c>
      <c r="D205">
        <f>'MP'!H17</f>
        <v>0</v>
      </c>
    </row>
    <row r="206" spans="1:4">
      <c r="A206" t="s">
        <v>563</v>
      </c>
      <c r="B206" t="s">
        <v>698</v>
      </c>
      <c r="C206">
        <f>'MP'!A18</f>
        <v>0</v>
      </c>
      <c r="D206">
        <f>'MP'!H18</f>
        <v>0</v>
      </c>
    </row>
    <row r="207" spans="1:4">
      <c r="A207" t="s">
        <v>563</v>
      </c>
      <c r="B207" t="s">
        <v>698</v>
      </c>
      <c r="C207">
        <f>'MP'!A19</f>
        <v>0</v>
      </c>
      <c r="D207">
        <f>'MP'!H19</f>
        <v>0</v>
      </c>
    </row>
    <row r="208" spans="1:4">
      <c r="A208" t="s">
        <v>563</v>
      </c>
      <c r="B208" t="s">
        <v>698</v>
      </c>
      <c r="C208">
        <f>'MP'!A20</f>
        <v>0</v>
      </c>
      <c r="D208">
        <f>'MP'!H20</f>
        <v>0</v>
      </c>
    </row>
    <row r="209" spans="1:4">
      <c r="A209" t="s">
        <v>563</v>
      </c>
      <c r="B209" t="s">
        <v>699</v>
      </c>
      <c r="C209">
        <f>'MP'!A24</f>
        <v>0</v>
      </c>
      <c r="D209">
        <f>'MP'!H24</f>
        <v>0</v>
      </c>
    </row>
    <row r="210" spans="1:4">
      <c r="A210" t="s">
        <v>563</v>
      </c>
      <c r="B210" t="s">
        <v>700</v>
      </c>
      <c r="C210">
        <f>'MP'!A28</f>
        <v>0</v>
      </c>
      <c r="D210">
        <f>'MP'!H28</f>
        <v>0</v>
      </c>
    </row>
    <row r="211" spans="1:4">
      <c r="A211" t="s">
        <v>563</v>
      </c>
      <c r="B211" t="s">
        <v>700</v>
      </c>
      <c r="C211">
        <f>'MP'!A29</f>
        <v>0</v>
      </c>
      <c r="D211">
        <f>'MP'!H29</f>
        <v>0</v>
      </c>
    </row>
    <row r="212" spans="1:4">
      <c r="A212" t="s">
        <v>563</v>
      </c>
      <c r="B212" t="s">
        <v>701</v>
      </c>
      <c r="C212">
        <f>'MP'!A33</f>
        <v>0</v>
      </c>
      <c r="D212">
        <f>'MP'!H33</f>
        <v>0</v>
      </c>
    </row>
    <row r="213" spans="1:4">
      <c r="A213" t="s">
        <v>563</v>
      </c>
      <c r="B213" t="s">
        <v>701</v>
      </c>
      <c r="C213">
        <f>'MP'!A34</f>
        <v>0</v>
      </c>
      <c r="D213">
        <f>'MP'!H34</f>
        <v>0</v>
      </c>
    </row>
    <row r="214" spans="1:4">
      <c r="A214" t="s">
        <v>563</v>
      </c>
      <c r="B214" t="s">
        <v>702</v>
      </c>
      <c r="C214">
        <f>'MP'!A38</f>
        <v>0</v>
      </c>
      <c r="D214">
        <f>'MP'!H38</f>
        <v>0</v>
      </c>
    </row>
    <row r="215" spans="1:4">
      <c r="A215" t="s">
        <v>563</v>
      </c>
      <c r="B215" t="s">
        <v>703</v>
      </c>
      <c r="C215">
        <f>'MP'!A42</f>
        <v>0</v>
      </c>
      <c r="D215">
        <f>'MP'!H42</f>
        <v>0</v>
      </c>
    </row>
    <row r="216" spans="1:4">
      <c r="A216" t="s">
        <v>563</v>
      </c>
      <c r="B216" t="s">
        <v>704</v>
      </c>
      <c r="C216">
        <f>'MP'!A46</f>
        <v>0</v>
      </c>
      <c r="D216">
        <f>'MP'!H46</f>
        <v>0</v>
      </c>
    </row>
    <row r="217" spans="1:4">
      <c r="A217" t="s">
        <v>563</v>
      </c>
      <c r="B217" t="s">
        <v>705</v>
      </c>
      <c r="C217">
        <f>'MP'!A50</f>
        <v>0</v>
      </c>
      <c r="D217">
        <f>'MP'!H50</f>
        <v>0</v>
      </c>
    </row>
    <row r="218" spans="1:4">
      <c r="A218" t="s">
        <v>574</v>
      </c>
      <c r="B218" t="s">
        <v>706</v>
      </c>
      <c r="C218">
        <f>'PS'!A12</f>
        <v>0</v>
      </c>
      <c r="D218">
        <f>'PS'!H12</f>
        <v>0</v>
      </c>
    </row>
    <row r="219" spans="1:4">
      <c r="A219" t="s">
        <v>574</v>
      </c>
      <c r="B219" t="s">
        <v>707</v>
      </c>
      <c r="C219">
        <f>'PS'!A16</f>
        <v>0</v>
      </c>
      <c r="D219">
        <f>'PS'!H16</f>
        <v>0</v>
      </c>
    </row>
    <row r="220" spans="1:4">
      <c r="A220" t="s">
        <v>574</v>
      </c>
      <c r="B220" t="s">
        <v>707</v>
      </c>
      <c r="C220">
        <f>'PS'!A17</f>
        <v>0</v>
      </c>
      <c r="D220">
        <f>'PS'!H17</f>
        <v>0</v>
      </c>
    </row>
    <row r="221" spans="1:4">
      <c r="A221" t="s">
        <v>574</v>
      </c>
      <c r="B221" t="s">
        <v>707</v>
      </c>
      <c r="C221">
        <f>'PS'!A18</f>
        <v>0</v>
      </c>
      <c r="D221">
        <f>'PS'!H18</f>
        <v>0</v>
      </c>
    </row>
    <row r="222" spans="1:4">
      <c r="A222" t="s">
        <v>576</v>
      </c>
      <c r="B222" t="s">
        <v>708</v>
      </c>
      <c r="C222">
        <f>'PE'!A12</f>
        <v>0</v>
      </c>
      <c r="D222">
        <f>'PE'!H12</f>
        <v>0</v>
      </c>
    </row>
    <row r="223" spans="1:4">
      <c r="A223" t="s">
        <v>576</v>
      </c>
      <c r="B223" t="s">
        <v>708</v>
      </c>
      <c r="C223">
        <f>'PE'!A13</f>
        <v>0</v>
      </c>
      <c r="D223">
        <f>'PE'!H13</f>
        <v>0</v>
      </c>
    </row>
    <row r="224" spans="1:4">
      <c r="A224" t="s">
        <v>576</v>
      </c>
      <c r="B224" t="s">
        <v>708</v>
      </c>
      <c r="C224">
        <f>'PE'!A14</f>
        <v>0</v>
      </c>
      <c r="D224">
        <f>'PE'!H14</f>
        <v>0</v>
      </c>
    </row>
    <row r="225" spans="1:4">
      <c r="A225" t="s">
        <v>576</v>
      </c>
      <c r="B225" t="s">
        <v>708</v>
      </c>
      <c r="C225">
        <f>'PE'!A15</f>
        <v>0</v>
      </c>
      <c r="D225">
        <f>'PE'!H15</f>
        <v>0</v>
      </c>
    </row>
    <row r="226" spans="1:4">
      <c r="A226" t="s">
        <v>576</v>
      </c>
      <c r="B226" t="s">
        <v>709</v>
      </c>
      <c r="C226">
        <f>'PE'!A19</f>
        <v>0</v>
      </c>
      <c r="D226">
        <f>'PE'!H19</f>
        <v>0</v>
      </c>
    </row>
    <row r="227" spans="1:4">
      <c r="A227" t="s">
        <v>576</v>
      </c>
      <c r="B227" t="s">
        <v>709</v>
      </c>
      <c r="C227">
        <f>'PE'!A20</f>
        <v>0</v>
      </c>
      <c r="D227">
        <f>'PE'!H20</f>
        <v>0</v>
      </c>
    </row>
    <row r="228" spans="1:4">
      <c r="A228" t="s">
        <v>576</v>
      </c>
      <c r="B228" t="s">
        <v>710</v>
      </c>
      <c r="C228">
        <f>'PE'!A24</f>
        <v>0</v>
      </c>
      <c r="D228">
        <f>'PE'!H24</f>
        <v>0</v>
      </c>
    </row>
    <row r="229" spans="1:4">
      <c r="A229" t="s">
        <v>576</v>
      </c>
      <c r="B229" t="s">
        <v>711</v>
      </c>
      <c r="C229">
        <f>'PE'!A28</f>
        <v>0</v>
      </c>
      <c r="D229">
        <f>'PE'!H28</f>
        <v>0</v>
      </c>
    </row>
    <row r="230" spans="1:4">
      <c r="A230" t="s">
        <v>576</v>
      </c>
      <c r="B230" t="s">
        <v>711</v>
      </c>
      <c r="C230">
        <f>'PE'!A29</f>
        <v>0</v>
      </c>
      <c r="D230">
        <f>'PE'!H29</f>
        <v>0</v>
      </c>
    </row>
    <row r="231" spans="1:4">
      <c r="A231" t="s">
        <v>576</v>
      </c>
      <c r="B231" t="s">
        <v>711</v>
      </c>
      <c r="C231">
        <f>'PE'!A30</f>
        <v>0</v>
      </c>
      <c r="D231">
        <f>'PE'!H30</f>
        <v>0</v>
      </c>
    </row>
    <row r="232" spans="1:4">
      <c r="A232" t="s">
        <v>576</v>
      </c>
      <c r="B232" t="s">
        <v>712</v>
      </c>
      <c r="C232">
        <f>'PE'!A34</f>
        <v>0</v>
      </c>
      <c r="D232">
        <f>'PE'!H34</f>
        <v>0</v>
      </c>
    </row>
    <row r="233" spans="1:4">
      <c r="A233" t="s">
        <v>576</v>
      </c>
      <c r="B233" t="s">
        <v>712</v>
      </c>
      <c r="C233">
        <f>'PE'!A35</f>
        <v>0</v>
      </c>
      <c r="D233">
        <f>'PE'!H35</f>
        <v>0</v>
      </c>
    </row>
    <row r="234" spans="1:4">
      <c r="A234" t="s">
        <v>576</v>
      </c>
      <c r="B234" t="s">
        <v>712</v>
      </c>
      <c r="C234">
        <f>'PE'!A36</f>
        <v>0</v>
      </c>
      <c r="D234">
        <f>'PE'!H36</f>
        <v>0</v>
      </c>
    </row>
    <row r="235" spans="1:4">
      <c r="A235" t="s">
        <v>576</v>
      </c>
      <c r="B235" t="s">
        <v>712</v>
      </c>
      <c r="C235">
        <f>'PE'!A37</f>
        <v>0</v>
      </c>
      <c r="D235">
        <f>'PE'!H37</f>
        <v>0</v>
      </c>
    </row>
    <row r="236" spans="1:4">
      <c r="A236" t="s">
        <v>576</v>
      </c>
      <c r="B236" t="s">
        <v>713</v>
      </c>
      <c r="C236">
        <f>'PE'!A41</f>
        <v>0</v>
      </c>
      <c r="D236">
        <f>'PE'!H41</f>
        <v>0</v>
      </c>
    </row>
    <row r="237" spans="1:4">
      <c r="A237" t="s">
        <v>576</v>
      </c>
      <c r="B237" t="s">
        <v>713</v>
      </c>
      <c r="C237">
        <f>'PE'!A42</f>
        <v>0</v>
      </c>
      <c r="D237">
        <f>'PE'!H42</f>
        <v>0</v>
      </c>
    </row>
    <row r="238" spans="1:4">
      <c r="A238" t="s">
        <v>610</v>
      </c>
      <c r="B238" t="s">
        <v>714</v>
      </c>
      <c r="C238">
        <f>'RA'!A12</f>
        <v>0</v>
      </c>
      <c r="D238">
        <f>'RA'!H12</f>
        <v>0</v>
      </c>
    </row>
    <row r="239" spans="1:4">
      <c r="A239" t="s">
        <v>610</v>
      </c>
      <c r="B239" t="s">
        <v>714</v>
      </c>
      <c r="C239">
        <f>'RA'!A13</f>
        <v>0</v>
      </c>
      <c r="D239">
        <f>'RA'!H13</f>
        <v>0</v>
      </c>
    </row>
    <row r="240" spans="1:4">
      <c r="A240" t="s">
        <v>610</v>
      </c>
      <c r="B240" t="s">
        <v>715</v>
      </c>
      <c r="C240">
        <f>'RA'!A17</f>
        <v>0</v>
      </c>
      <c r="D240">
        <f>'RA'!H17</f>
        <v>0</v>
      </c>
    </row>
    <row r="241" spans="1:4">
      <c r="A241" t="s">
        <v>610</v>
      </c>
      <c r="B241" t="s">
        <v>715</v>
      </c>
      <c r="C241">
        <f>'RA'!A18</f>
        <v>0</v>
      </c>
      <c r="D241">
        <f>'RA'!H18</f>
        <v>0</v>
      </c>
    </row>
    <row r="242" spans="1:4">
      <c r="A242" t="s">
        <v>610</v>
      </c>
      <c r="B242" t="s">
        <v>715</v>
      </c>
      <c r="C242">
        <f>'RA'!A19</f>
        <v>0</v>
      </c>
      <c r="D242">
        <f>'RA'!H19</f>
        <v>0</v>
      </c>
    </row>
    <row r="243" spans="1:4">
      <c r="A243" t="s">
        <v>610</v>
      </c>
      <c r="B243" t="s">
        <v>715</v>
      </c>
      <c r="C243">
        <f>'RA'!A20</f>
        <v>0</v>
      </c>
      <c r="D243">
        <f>'RA'!H20</f>
        <v>0</v>
      </c>
    </row>
    <row r="244" spans="1:4">
      <c r="A244" t="s">
        <v>610</v>
      </c>
      <c r="B244" t="s">
        <v>715</v>
      </c>
      <c r="C244">
        <f>'RA'!A21</f>
        <v>0</v>
      </c>
      <c r="D244">
        <f>'RA'!H21</f>
        <v>0</v>
      </c>
    </row>
    <row r="245" spans="1:4">
      <c r="A245" t="s">
        <v>610</v>
      </c>
      <c r="B245" t="s">
        <v>716</v>
      </c>
      <c r="C245">
        <f>'RA'!A25</f>
        <v>0</v>
      </c>
      <c r="D245">
        <f>'RA'!H25</f>
        <v>0</v>
      </c>
    </row>
    <row r="246" spans="1:4">
      <c r="A246" t="s">
        <v>610</v>
      </c>
      <c r="B246" t="s">
        <v>716</v>
      </c>
      <c r="C246">
        <f>'RA'!A26</f>
        <v>0</v>
      </c>
      <c r="D246">
        <f>'RA'!H26</f>
        <v>0</v>
      </c>
    </row>
    <row r="247" spans="1:4">
      <c r="A247" t="s">
        <v>596</v>
      </c>
      <c r="B247" t="s">
        <v>717</v>
      </c>
      <c r="C247">
        <f>'CA'!A12</f>
        <v>0</v>
      </c>
      <c r="D247">
        <f>'CA'!H12</f>
        <v>0</v>
      </c>
    </row>
    <row r="248" spans="1:4">
      <c r="A248" t="s">
        <v>596</v>
      </c>
      <c r="B248" t="s">
        <v>717</v>
      </c>
      <c r="C248">
        <f>'CA'!A13</f>
        <v>0</v>
      </c>
      <c r="D248">
        <f>'CA'!H13</f>
        <v>0</v>
      </c>
    </row>
    <row r="249" spans="1:4">
      <c r="A249" t="s">
        <v>596</v>
      </c>
      <c r="B249" t="s">
        <v>718</v>
      </c>
      <c r="C249">
        <f>'CA'!A17</f>
        <v>0</v>
      </c>
      <c r="D249">
        <f>'CA'!H17</f>
        <v>0</v>
      </c>
    </row>
    <row r="250" spans="1:4">
      <c r="A250" t="s">
        <v>596</v>
      </c>
      <c r="B250" t="s">
        <v>718</v>
      </c>
      <c r="C250">
        <f>'CA'!A18</f>
        <v>0</v>
      </c>
      <c r="D250">
        <f>'CA'!H18</f>
        <v>0</v>
      </c>
    </row>
    <row r="251" spans="1:4">
      <c r="A251" t="s">
        <v>596</v>
      </c>
      <c r="B251" t="s">
        <v>718</v>
      </c>
      <c r="C251">
        <f>'CA'!A19</f>
        <v>0</v>
      </c>
      <c r="D251">
        <f>'CA'!H19</f>
        <v>0</v>
      </c>
    </row>
    <row r="252" spans="1:4">
      <c r="A252" t="s">
        <v>596</v>
      </c>
      <c r="B252" t="s">
        <v>719</v>
      </c>
      <c r="C252">
        <f>'CA'!A23</f>
        <v>0</v>
      </c>
      <c r="D252">
        <f>'CA'!H23</f>
        <v>0</v>
      </c>
    </row>
    <row r="253" spans="1:4">
      <c r="A253" t="s">
        <v>596</v>
      </c>
      <c r="B253" t="s">
        <v>720</v>
      </c>
      <c r="C253">
        <f>'CA'!A27</f>
        <v>0</v>
      </c>
      <c r="D253">
        <f>'CA'!H27</f>
        <v>0</v>
      </c>
    </row>
    <row r="254" spans="1:4">
      <c r="A254" t="s">
        <v>596</v>
      </c>
      <c r="B254" t="s">
        <v>720</v>
      </c>
      <c r="C254">
        <f>'CA'!A28</f>
        <v>0</v>
      </c>
      <c r="D254">
        <f>'CA'!H28</f>
        <v>0</v>
      </c>
    </row>
    <row r="255" spans="1:4">
      <c r="A255" t="s">
        <v>596</v>
      </c>
      <c r="B255" t="s">
        <v>720</v>
      </c>
      <c r="C255">
        <f>'CA'!A29</f>
        <v>0</v>
      </c>
      <c r="D255">
        <f>'CA'!H29</f>
        <v>0</v>
      </c>
    </row>
    <row r="256" spans="1:4">
      <c r="A256" t="s">
        <v>596</v>
      </c>
      <c r="B256" t="s">
        <v>720</v>
      </c>
      <c r="C256">
        <f>'CA'!A30</f>
        <v>0</v>
      </c>
      <c r="D256">
        <f>'CA'!H30</f>
        <v>0</v>
      </c>
    </row>
    <row r="257" spans="1:4">
      <c r="A257" t="s">
        <v>596</v>
      </c>
      <c r="B257" t="s">
        <v>720</v>
      </c>
      <c r="C257">
        <f>'CA'!A31</f>
        <v>0</v>
      </c>
      <c r="D257">
        <f>'CA'!H31</f>
        <v>0</v>
      </c>
    </row>
    <row r="258" spans="1:4">
      <c r="A258" t="s">
        <v>596</v>
      </c>
      <c r="B258" t="s">
        <v>720</v>
      </c>
      <c r="C258">
        <f>'CA'!A32</f>
        <v>0</v>
      </c>
      <c r="D258">
        <f>'CA'!H32</f>
        <v>0</v>
      </c>
    </row>
    <row r="259" spans="1:4">
      <c r="A259" t="s">
        <v>596</v>
      </c>
      <c r="B259" t="s">
        <v>720</v>
      </c>
      <c r="C259">
        <f>'CA'!A33</f>
        <v>0</v>
      </c>
      <c r="D259">
        <f>'CA'!H33</f>
        <v>0</v>
      </c>
    </row>
    <row r="260" spans="1:4">
      <c r="A260" t="s">
        <v>596</v>
      </c>
      <c r="B260" t="s">
        <v>720</v>
      </c>
      <c r="C260">
        <f>'CA'!A34</f>
        <v>0</v>
      </c>
      <c r="D260">
        <f>'CA'!H34</f>
        <v>0</v>
      </c>
    </row>
    <row r="261" spans="1:4">
      <c r="A261" t="s">
        <v>600</v>
      </c>
      <c r="B261" t="s">
        <v>721</v>
      </c>
      <c r="C261">
        <f>'SI'!A12</f>
        <v>0</v>
      </c>
      <c r="D261">
        <f>'SI'!H12</f>
        <v>0</v>
      </c>
    </row>
    <row r="262" spans="1:4">
      <c r="A262" t="s">
        <v>600</v>
      </c>
      <c r="B262" t="s">
        <v>721</v>
      </c>
      <c r="C262">
        <f>'SI'!A13</f>
        <v>0</v>
      </c>
      <c r="D262">
        <f>'SI'!H13</f>
        <v>0</v>
      </c>
    </row>
    <row r="263" spans="1:4">
      <c r="A263" t="s">
        <v>600</v>
      </c>
      <c r="B263" t="s">
        <v>721</v>
      </c>
      <c r="C263">
        <f>'SI'!A14</f>
        <v>0</v>
      </c>
      <c r="D263">
        <f>'SI'!H14</f>
        <v>0</v>
      </c>
    </row>
    <row r="264" spans="1:4">
      <c r="A264" t="s">
        <v>600</v>
      </c>
      <c r="B264" t="s">
        <v>721</v>
      </c>
      <c r="C264">
        <f>'SI'!A15</f>
        <v>0</v>
      </c>
      <c r="D264">
        <f>'SI'!H15</f>
        <v>0</v>
      </c>
    </row>
    <row r="265" spans="1:4">
      <c r="A265" t="s">
        <v>600</v>
      </c>
      <c r="B265" t="s">
        <v>721</v>
      </c>
      <c r="C265">
        <f>'SI'!A16</f>
        <v>0</v>
      </c>
      <c r="D265">
        <f>'SI'!H16</f>
        <v>0</v>
      </c>
    </row>
    <row r="266" spans="1:4">
      <c r="A266" t="s">
        <v>600</v>
      </c>
      <c r="B266" t="s">
        <v>721</v>
      </c>
      <c r="C266">
        <f>'SI'!A17</f>
        <v>0</v>
      </c>
      <c r="D266">
        <f>'SI'!H17</f>
        <v>0</v>
      </c>
    </row>
    <row r="267" spans="1:4">
      <c r="A267" t="s">
        <v>600</v>
      </c>
      <c r="B267" t="s">
        <v>722</v>
      </c>
      <c r="C267">
        <f>'SI'!A21</f>
        <v>0</v>
      </c>
      <c r="D267">
        <f>'SI'!H21</f>
        <v>0</v>
      </c>
    </row>
    <row r="268" spans="1:4">
      <c r="A268" t="s">
        <v>600</v>
      </c>
      <c r="B268" t="s">
        <v>722</v>
      </c>
      <c r="C268">
        <f>'SI'!A22</f>
        <v>0</v>
      </c>
      <c r="D268">
        <f>'SI'!H22</f>
        <v>0</v>
      </c>
    </row>
    <row r="269" spans="1:4">
      <c r="A269" t="s">
        <v>600</v>
      </c>
      <c r="B269" t="s">
        <v>723</v>
      </c>
      <c r="C269">
        <f>'SI'!A26</f>
        <v>0</v>
      </c>
      <c r="D269">
        <f>'SI'!H26</f>
        <v>0</v>
      </c>
    </row>
    <row r="270" spans="1:4">
      <c r="A270" t="s">
        <v>600</v>
      </c>
      <c r="B270" t="s">
        <v>724</v>
      </c>
      <c r="C270">
        <f>'SI'!A30</f>
        <v>0</v>
      </c>
      <c r="D270">
        <f>'SI'!H30</f>
        <v>0</v>
      </c>
    </row>
    <row r="271" spans="1:4">
      <c r="A271" t="s">
        <v>600</v>
      </c>
      <c r="B271" t="s">
        <v>724</v>
      </c>
      <c r="C271">
        <f>'SI'!A31</f>
        <v>0</v>
      </c>
      <c r="D271">
        <f>'SI'!H31</f>
        <v>0</v>
      </c>
    </row>
    <row r="272" spans="1:4">
      <c r="A272" t="s">
        <v>600</v>
      </c>
      <c r="B272" t="s">
        <v>724</v>
      </c>
      <c r="C272">
        <f>'SI'!A32</f>
        <v>0</v>
      </c>
      <c r="D272">
        <f>'SI'!H32</f>
        <v>0</v>
      </c>
    </row>
    <row r="273" spans="1:4">
      <c r="A273" t="s">
        <v>600</v>
      </c>
      <c r="B273" t="s">
        <v>725</v>
      </c>
      <c r="C273">
        <f>'SI'!A36</f>
        <v>0</v>
      </c>
      <c r="D273">
        <f>'SI'!H36</f>
        <v>0</v>
      </c>
    </row>
    <row r="274" spans="1:4">
      <c r="A274" t="s">
        <v>600</v>
      </c>
      <c r="B274" t="s">
        <v>725</v>
      </c>
      <c r="C274">
        <f>'SI'!A37</f>
        <v>0</v>
      </c>
      <c r="D274">
        <f>'SI'!H37</f>
        <v>0</v>
      </c>
    </row>
    <row r="275" spans="1:4">
      <c r="A275" t="s">
        <v>600</v>
      </c>
      <c r="B275" t="s">
        <v>725</v>
      </c>
      <c r="C275">
        <f>'SI'!A38</f>
        <v>0</v>
      </c>
      <c r="D275">
        <f>'SI'!H38</f>
        <v>0</v>
      </c>
    </row>
    <row r="276" spans="1:4">
      <c r="A276" t="s">
        <v>600</v>
      </c>
      <c r="B276" t="s">
        <v>726</v>
      </c>
      <c r="C276">
        <f>'SI'!A42</f>
        <v>0</v>
      </c>
      <c r="D276">
        <f>'SI'!H42</f>
        <v>0</v>
      </c>
    </row>
    <row r="277" spans="1:4">
      <c r="A277" t="s">
        <v>600</v>
      </c>
      <c r="B277" t="s">
        <v>726</v>
      </c>
      <c r="C277">
        <f>'SI'!A43</f>
        <v>0</v>
      </c>
      <c r="D277">
        <f>'SI'!H43</f>
        <v>0</v>
      </c>
    </row>
    <row r="278" spans="1:4">
      <c r="A278" t="s">
        <v>600</v>
      </c>
      <c r="B278" t="s">
        <v>726</v>
      </c>
      <c r="C278">
        <f>'SI'!A44</f>
        <v>0</v>
      </c>
      <c r="D278">
        <f>'SI'!H44</f>
        <v>0</v>
      </c>
    </row>
    <row r="279" spans="1:4">
      <c r="A279" t="s">
        <v>600</v>
      </c>
      <c r="B279" t="s">
        <v>727</v>
      </c>
      <c r="C279">
        <f>'SI'!A48</f>
        <v>0</v>
      </c>
      <c r="D279">
        <f>'SI'!H48</f>
        <v>0</v>
      </c>
    </row>
    <row r="280" spans="1:4">
      <c r="A280" t="s">
        <v>600</v>
      </c>
      <c r="B280" t="s">
        <v>727</v>
      </c>
      <c r="C280">
        <f>'SI'!A49</f>
        <v>0</v>
      </c>
      <c r="D280">
        <f>'SI'!H49</f>
        <v>0</v>
      </c>
    </row>
    <row r="281" spans="1:4">
      <c r="A281" t="s">
        <v>602</v>
      </c>
      <c r="B281" t="s">
        <v>728</v>
      </c>
      <c r="C281">
        <f>'SC'!A12</f>
        <v>0</v>
      </c>
      <c r="D281">
        <f>'SC'!H12</f>
        <v>0</v>
      </c>
    </row>
    <row r="282" spans="1:4">
      <c r="A282" t="s">
        <v>602</v>
      </c>
      <c r="B282" t="s">
        <v>728</v>
      </c>
      <c r="C282">
        <f>'SC'!A13</f>
        <v>0</v>
      </c>
      <c r="D282">
        <f>'SC'!H13</f>
        <v>0</v>
      </c>
    </row>
    <row r="283" spans="1:4">
      <c r="A283" t="s">
        <v>602</v>
      </c>
      <c r="B283" t="s">
        <v>728</v>
      </c>
      <c r="C283">
        <f>'SC'!A14</f>
        <v>0</v>
      </c>
      <c r="D283">
        <f>'SC'!H14</f>
        <v>0</v>
      </c>
    </row>
    <row r="284" spans="1:4">
      <c r="A284" t="s">
        <v>602</v>
      </c>
      <c r="B284" t="s">
        <v>728</v>
      </c>
      <c r="C284">
        <f>'SC'!A15</f>
        <v>0</v>
      </c>
      <c r="D284">
        <f>'SC'!H15</f>
        <v>0</v>
      </c>
    </row>
    <row r="285" spans="1:4">
      <c r="A285" t="s">
        <v>602</v>
      </c>
      <c r="B285" t="s">
        <v>728</v>
      </c>
      <c r="C285">
        <f>'SC'!A16</f>
        <v>0</v>
      </c>
      <c r="D285">
        <f>'SC'!H16</f>
        <v>0</v>
      </c>
    </row>
    <row r="286" spans="1:4">
      <c r="A286" t="s">
        <v>602</v>
      </c>
      <c r="B286" t="s">
        <v>728</v>
      </c>
      <c r="C286">
        <f>'SC'!A17</f>
        <v>0</v>
      </c>
      <c r="D286">
        <f>'SC'!H17</f>
        <v>0</v>
      </c>
    </row>
    <row r="287" spans="1:4">
      <c r="A287" t="s">
        <v>602</v>
      </c>
      <c r="B287" t="s">
        <v>728</v>
      </c>
      <c r="C287">
        <f>'SC'!A18</f>
        <v>0</v>
      </c>
      <c r="D287">
        <f>'SC'!H18</f>
        <v>0</v>
      </c>
    </row>
    <row r="288" spans="1:4">
      <c r="A288" t="s">
        <v>602</v>
      </c>
      <c r="B288" t="s">
        <v>728</v>
      </c>
      <c r="C288">
        <f>'SC'!A19</f>
        <v>0</v>
      </c>
      <c r="D288">
        <f>'SC'!H19</f>
        <v>0</v>
      </c>
    </row>
    <row r="289" spans="1:4">
      <c r="A289" t="s">
        <v>602</v>
      </c>
      <c r="B289" t="s">
        <v>729</v>
      </c>
      <c r="C289">
        <f>'SC'!A23</f>
        <v>0</v>
      </c>
      <c r="D289">
        <f>'SC'!H23</f>
        <v>0</v>
      </c>
    </row>
    <row r="290" spans="1:4">
      <c r="A290" t="s">
        <v>602</v>
      </c>
      <c r="B290" t="s">
        <v>729</v>
      </c>
      <c r="C290">
        <f>'SC'!A24</f>
        <v>0</v>
      </c>
      <c r="D290">
        <f>'SC'!H24</f>
        <v>0</v>
      </c>
    </row>
    <row r="291" spans="1:4">
      <c r="A291" t="s">
        <v>602</v>
      </c>
      <c r="B291" t="s">
        <v>730</v>
      </c>
      <c r="C291">
        <f>'SC'!A28</f>
        <v>0</v>
      </c>
      <c r="D291">
        <f>'SC'!H28</f>
        <v>0</v>
      </c>
    </row>
    <row r="292" spans="1:4">
      <c r="A292" t="s">
        <v>602</v>
      </c>
      <c r="B292" t="s">
        <v>730</v>
      </c>
      <c r="C292">
        <f>'SC'!A29</f>
        <v>0</v>
      </c>
      <c r="D292">
        <f>'SC'!H29</f>
        <v>0</v>
      </c>
    </row>
    <row r="293" spans="1:4">
      <c r="A293" t="s">
        <v>602</v>
      </c>
      <c r="B293" t="s">
        <v>731</v>
      </c>
      <c r="C293">
        <f>'SC'!A33</f>
        <v>0</v>
      </c>
      <c r="D293">
        <f>'SC'!H33</f>
        <v>0</v>
      </c>
    </row>
    <row r="294" spans="1:4">
      <c r="A294" t="s">
        <v>602</v>
      </c>
      <c r="B294" t="s">
        <v>732</v>
      </c>
      <c r="C294">
        <f>'SC'!A37</f>
        <v>0</v>
      </c>
      <c r="D294">
        <f>'SC'!H37</f>
        <v>0</v>
      </c>
    </row>
    <row r="295" spans="1:4">
      <c r="A295" t="s">
        <v>602</v>
      </c>
      <c r="B295" t="s">
        <v>732</v>
      </c>
      <c r="C295">
        <f>'SC'!A38</f>
        <v>0</v>
      </c>
      <c r="D295">
        <f>'SC'!H38</f>
        <v>0</v>
      </c>
    </row>
    <row r="296" spans="1:4">
      <c r="A296" t="s">
        <v>602</v>
      </c>
      <c r="B296" t="s">
        <v>732</v>
      </c>
      <c r="C296">
        <f>'SC'!A39</f>
        <v>0</v>
      </c>
      <c r="D296">
        <f>'SC'!H39</f>
        <v>0</v>
      </c>
    </row>
    <row r="297" spans="1:4">
      <c r="A297" t="s">
        <v>602</v>
      </c>
      <c r="B297" t="s">
        <v>733</v>
      </c>
      <c r="C297">
        <f>'SC'!A43</f>
        <v>0</v>
      </c>
      <c r="D297">
        <f>'SC'!H43</f>
        <v>0</v>
      </c>
    </row>
    <row r="298" spans="1:4">
      <c r="A298" t="s">
        <v>602</v>
      </c>
      <c r="B298" t="s">
        <v>733</v>
      </c>
      <c r="C298">
        <f>'SC'!A44</f>
        <v>0</v>
      </c>
      <c r="D298">
        <f>'SC'!H44</f>
        <v>0</v>
      </c>
    </row>
    <row r="299" spans="1:4">
      <c r="A299" t="s">
        <v>602</v>
      </c>
      <c r="B299" t="s">
        <v>734</v>
      </c>
      <c r="C299">
        <f>'SC'!A48</f>
        <v>0</v>
      </c>
      <c r="D299">
        <f>'SC'!H48</f>
        <v>0</v>
      </c>
    </row>
    <row r="300" spans="1:4">
      <c r="A300" t="s">
        <v>602</v>
      </c>
      <c r="B300" t="s">
        <v>734</v>
      </c>
      <c r="C300">
        <f>'SC'!A49</f>
        <v>0</v>
      </c>
      <c r="D300">
        <f>'SC'!H49</f>
        <v>0</v>
      </c>
    </row>
    <row r="301" spans="1:4">
      <c r="A301" t="s">
        <v>602</v>
      </c>
      <c r="B301" t="s">
        <v>735</v>
      </c>
      <c r="C301">
        <f>'SC'!A53</f>
        <v>0</v>
      </c>
      <c r="D301">
        <f>'SC'!H53</f>
        <v>0</v>
      </c>
    </row>
    <row r="302" spans="1:4">
      <c r="A302" t="s">
        <v>602</v>
      </c>
      <c r="B302" t="s">
        <v>736</v>
      </c>
      <c r="C302">
        <f>'SC'!A57</f>
        <v>0</v>
      </c>
      <c r="D302">
        <f>'SC'!H57</f>
        <v>0</v>
      </c>
    </row>
    <row r="303" spans="1:4">
      <c r="A303" t="s">
        <v>602</v>
      </c>
      <c r="B303" t="s">
        <v>737</v>
      </c>
      <c r="C303">
        <f>'SC'!A61</f>
        <v>0</v>
      </c>
      <c r="D303">
        <f>'SC'!H61</f>
        <v>0</v>
      </c>
    </row>
    <row r="304" spans="1:4">
      <c r="A304" t="s">
        <v>602</v>
      </c>
      <c r="B304" t="s">
        <v>737</v>
      </c>
      <c r="C304">
        <f>'SC'!A62</f>
        <v>0</v>
      </c>
      <c r="D304">
        <f>'SC'!H62</f>
        <v>0</v>
      </c>
    </row>
    <row r="305" spans="1:4">
      <c r="A305" t="s">
        <v>602</v>
      </c>
      <c r="B305" t="s">
        <v>737</v>
      </c>
      <c r="C305">
        <f>'SC'!A63</f>
        <v>0</v>
      </c>
      <c r="D305">
        <f>'SC'!H63</f>
        <v>0</v>
      </c>
    </row>
    <row r="306" spans="1:4">
      <c r="A306" t="s">
        <v>602</v>
      </c>
      <c r="B306" t="s">
        <v>737</v>
      </c>
      <c r="C306">
        <f>'SC'!A64</f>
        <v>0</v>
      </c>
      <c r="D306">
        <f>'SC'!H64</f>
        <v>0</v>
      </c>
    </row>
    <row r="307" spans="1:4">
      <c r="A307" t="s">
        <v>602</v>
      </c>
      <c r="B307" t="s">
        <v>737</v>
      </c>
      <c r="C307">
        <f>'SC'!A65</f>
        <v>0</v>
      </c>
      <c r="D307">
        <f>'SC'!H65</f>
        <v>0</v>
      </c>
    </row>
    <row r="308" spans="1:4">
      <c r="A308" t="s">
        <v>602</v>
      </c>
      <c r="B308" t="s">
        <v>737</v>
      </c>
      <c r="C308">
        <f>'SC'!A66</f>
        <v>0</v>
      </c>
      <c r="D308">
        <f>'SC'!H66</f>
        <v>0</v>
      </c>
    </row>
    <row r="309" spans="1:4">
      <c r="A309" t="s">
        <v>602</v>
      </c>
      <c r="B309" t="s">
        <v>738</v>
      </c>
      <c r="C309">
        <f>'SC'!A70</f>
        <v>0</v>
      </c>
      <c r="D309">
        <f>'SC'!H70</f>
        <v>0</v>
      </c>
    </row>
    <row r="310" spans="1:4">
      <c r="A310" t="s">
        <v>602</v>
      </c>
      <c r="B310" t="s">
        <v>738</v>
      </c>
      <c r="C310">
        <f>'SC'!A71</f>
        <v>0</v>
      </c>
      <c r="D310">
        <f>'SC'!H71</f>
        <v>0</v>
      </c>
    </row>
    <row r="311" spans="1:4">
      <c r="A311" t="s">
        <v>602</v>
      </c>
      <c r="B311" t="s">
        <v>738</v>
      </c>
      <c r="C311">
        <f>'SC'!A72</f>
        <v>0</v>
      </c>
      <c r="D311">
        <f>'SC'!H72</f>
        <v>0</v>
      </c>
    </row>
    <row r="312" spans="1:4">
      <c r="A312" t="s">
        <v>602</v>
      </c>
      <c r="B312" t="s">
        <v>739</v>
      </c>
      <c r="C312">
        <f>'SC'!A76</f>
        <v>0</v>
      </c>
      <c r="D312">
        <f>'SC'!H76</f>
        <v>0</v>
      </c>
    </row>
    <row r="313" spans="1:4">
      <c r="A313" t="s">
        <v>602</v>
      </c>
      <c r="B313" t="s">
        <v>740</v>
      </c>
      <c r="C313">
        <f>'SC'!A80</f>
        <v>0</v>
      </c>
      <c r="D313">
        <f>'SC'!H80</f>
        <v>0</v>
      </c>
    </row>
    <row r="314" spans="1:4">
      <c r="A314" t="s">
        <v>602</v>
      </c>
      <c r="B314" t="s">
        <v>740</v>
      </c>
      <c r="C314">
        <f>'SC'!A81</f>
        <v>0</v>
      </c>
      <c r="D314">
        <f>'SC'!H81</f>
        <v>0</v>
      </c>
    </row>
    <row r="315" spans="1:4">
      <c r="A315" t="s">
        <v>602</v>
      </c>
      <c r="B315" t="s">
        <v>741</v>
      </c>
      <c r="C315">
        <f>'SC'!A85</f>
        <v>0</v>
      </c>
      <c r="D315">
        <f>'SC'!H85</f>
        <v>0</v>
      </c>
    </row>
    <row r="316" spans="1:4">
      <c r="A316" t="s">
        <v>602</v>
      </c>
      <c r="B316" t="s">
        <v>742</v>
      </c>
      <c r="C316">
        <f>'SC'!A89</f>
        <v>0</v>
      </c>
      <c r="D316">
        <f>'SC'!H89</f>
        <v>0</v>
      </c>
    </row>
    <row r="317" spans="1:4">
      <c r="A317" t="s">
        <v>602</v>
      </c>
      <c r="B317" t="s">
        <v>742</v>
      </c>
      <c r="C317">
        <f>'SC'!A90</f>
        <v>0</v>
      </c>
      <c r="D317">
        <f>'SC'!H90</f>
        <v>0</v>
      </c>
    </row>
    <row r="318" spans="1:4">
      <c r="A318" t="s">
        <v>602</v>
      </c>
      <c r="B318" t="s">
        <v>742</v>
      </c>
      <c r="C318">
        <f>'SC'!A91</f>
        <v>0</v>
      </c>
      <c r="D318">
        <f>'SC'!H91</f>
        <v>0</v>
      </c>
    </row>
    <row r="319" spans="1:4">
      <c r="A319" t="s">
        <v>602</v>
      </c>
      <c r="B319" t="s">
        <v>743</v>
      </c>
      <c r="C319">
        <f>'SC'!A95</f>
        <v>0</v>
      </c>
      <c r="D319">
        <f>'SC'!H95</f>
        <v>0</v>
      </c>
    </row>
    <row r="320" spans="1:4">
      <c r="A320" t="s">
        <v>602</v>
      </c>
      <c r="B320" t="s">
        <v>743</v>
      </c>
      <c r="C320">
        <f>'SC'!A96</f>
        <v>0</v>
      </c>
      <c r="D320">
        <f>'SC'!H96</f>
        <v>0</v>
      </c>
    </row>
    <row r="321" spans="1:13">
      <c r="A321" t="s">
        <v>602</v>
      </c>
      <c r="B321" t="s">
        <v>743</v>
      </c>
      <c r="C321">
        <f>'SC'!A97</f>
        <v>0</v>
      </c>
      <c r="D321">
        <f>'SC'!H97</f>
        <v>0</v>
      </c>
    </row>
    <row r="323" spans="1:13">
      <c r="A323" t="s">
        <v>744</v>
      </c>
      <c r="C323" t="s">
        <v>46</v>
      </c>
      <c r="D323">
        <f>COUNTIF(D2:D321,C323)</f>
        <v>0</v>
      </c>
      <c r="E323">
        <f>VLOOKUP(C323,DATA_SUPPORT!$D$2:$E$51,2)</f>
        <v>0</v>
      </c>
      <c r="F323">
        <f>D323*DATA_SUPPORT!$G$5</f>
        <v>0</v>
      </c>
      <c r="I323">
        <f>CONCATENATE(CHAR(34), E323,CHAR(34), ":", F323,",")</f>
        <v>0</v>
      </c>
      <c r="K323">
        <f>I323 &amp; I324 &amp; I325 &amp; I326 &amp; I327 &amp; I328</f>
        <v>0</v>
      </c>
      <c r="L323">
        <f>CONCATENATE("{",LEFT(K323,LEN(K323)-1),"}")</f>
        <v>0</v>
      </c>
    </row>
    <row r="324" spans="1:13">
      <c r="C324" t="s">
        <v>47</v>
      </c>
      <c r="D324">
        <f>COUNTIF(D2:D321,C324)</f>
        <v>0</v>
      </c>
      <c r="E324">
        <f>VLOOKUP(C324,DATA_SUPPORT!$D$2:$E$51,2)</f>
        <v>0</v>
      </c>
      <c r="F324">
        <f>D324*DATA_SUPPORT!$G$5</f>
        <v>0</v>
      </c>
      <c r="I324">
        <f>CONCATENATE(CHAR(34), E324,CHAR(34), ":", F324,",")</f>
        <v>0</v>
      </c>
    </row>
    <row r="325" spans="1:13">
      <c r="C325" t="s">
        <v>48</v>
      </c>
      <c r="D325">
        <f>COUNTIF(D2:D321,C325)</f>
        <v>0</v>
      </c>
      <c r="E325">
        <f>VLOOKUP(C325,DATA_SUPPORT!$D$2:$E$51,2)</f>
        <v>0</v>
      </c>
      <c r="F325">
        <f>D325*DATA_SUPPORT!$G$5</f>
        <v>0</v>
      </c>
      <c r="I325">
        <f>CONCATENATE(CHAR(34), E325,CHAR(34), ":", F325,",")</f>
        <v>0</v>
      </c>
    </row>
    <row r="326" spans="1:13">
      <c r="C326" t="s">
        <v>49</v>
      </c>
      <c r="D326">
        <f>COUNTIF(D2:D321,C326)</f>
        <v>0</v>
      </c>
      <c r="E326">
        <f>VLOOKUP(C326,DATA_SUPPORT!$D$2:$E$51,2)</f>
        <v>0</v>
      </c>
      <c r="F326">
        <f>D326*DATA_SUPPORT!$G$5</f>
        <v>0</v>
      </c>
      <c r="I326">
        <f>CONCATENATE(CHAR(34), E326,CHAR(34), ":", F326,",")</f>
        <v>0</v>
      </c>
    </row>
    <row r="327" spans="1:13">
      <c r="C327" t="s">
        <v>50</v>
      </c>
      <c r="D327">
        <f>COUNTIF(D2:D321,C327)</f>
        <v>0</v>
      </c>
      <c r="E327">
        <f>VLOOKUP(C327,DATA_SUPPORT!$D$2:$E$51,2)</f>
        <v>0</v>
      </c>
      <c r="F327">
        <f>D327*DATA_SUPPORT!$G$5</f>
        <v>0</v>
      </c>
      <c r="I327">
        <f>CONCATENATE(CHAR(34), E327,CHAR(34), ":", F327,",")</f>
        <v>0</v>
      </c>
    </row>
    <row r="328" spans="1:13">
      <c r="C328" t="s">
        <v>51</v>
      </c>
      <c r="D328">
        <f>COUNTIF(D2:D321,C328)</f>
        <v>0</v>
      </c>
      <c r="E328">
        <f>VLOOKUP(C328,DATA_SUPPORT!$D$2:$E$51,2)</f>
        <v>0</v>
      </c>
      <c r="F328">
        <f>D328*DATA_SUPPORT!$G$5</f>
        <v>0</v>
      </c>
      <c r="I328">
        <f>CONCATENATE(CHAR(34), E328,CHAR(34), ":", F328,",")</f>
        <v>0</v>
      </c>
    </row>
    <row r="330" spans="1:13">
      <c r="A330" t="s">
        <v>623</v>
      </c>
      <c r="D330" t="s">
        <v>46</v>
      </c>
      <c r="E330" t="s">
        <v>47</v>
      </c>
      <c r="F330" t="s">
        <v>48</v>
      </c>
      <c r="G330" t="s">
        <v>49</v>
      </c>
      <c r="H330" t="s">
        <v>50</v>
      </c>
      <c r="I330" t="s">
        <v>51</v>
      </c>
      <c r="J330" t="s">
        <v>624</v>
      </c>
      <c r="K330" t="s">
        <v>625</v>
      </c>
      <c r="L330" t="s">
        <v>626</v>
      </c>
      <c r="M330" t="s">
        <v>627</v>
      </c>
    </row>
    <row r="331" spans="1:13">
      <c r="C331" t="s">
        <v>536</v>
      </c>
      <c r="D331">
        <f>COUNTIFS(A2:A321,C331,D2:D321,D330)</f>
        <v>0</v>
      </c>
      <c r="E331">
        <f>COUNTIFS(A2:A321,C331,D2:D321,E330)</f>
        <v>0</v>
      </c>
      <c r="F331">
        <f>COUNTIFS(A2:A321,C331,D2:D321,F330)</f>
        <v>0</v>
      </c>
      <c r="G331">
        <f>COUNTIFS(A2:A321,C331,D2:D321,G330)</f>
        <v>0</v>
      </c>
      <c r="H331">
        <f>COUNTIFS(A2:A321,C331,D2:D321,H330)</f>
        <v>0</v>
      </c>
      <c r="I331">
        <f>COUNTIFS(A2:A321,C331,D2:D321,I330)</f>
        <v>0</v>
      </c>
      <c r="J331">
        <f>(D331 * 1000000) + (E331 * 100000) + (F331 * 10000) + (G331 * 1000) + (H331 * 100) + (I331 * 10)</f>
        <v>0</v>
      </c>
      <c r="K331">
        <f>COUNTIF(J331:J344,"&lt;"&amp;J331)</f>
        <v>0</v>
      </c>
      <c r="L331">
        <f>COUNTIF(K331:K331,"="&amp;K331)</f>
        <v>0</v>
      </c>
      <c r="M331">
        <f>K331 + L331</f>
        <v>0</v>
      </c>
    </row>
    <row r="332" spans="1:13">
      <c r="C332" t="s">
        <v>540</v>
      </c>
      <c r="D332">
        <f>COUNTIFS(A2:A321,C332,D2:D321,D330)</f>
        <v>0</v>
      </c>
      <c r="E332">
        <f>COUNTIFS(A2:A321,C332,D2:D321,E330)</f>
        <v>0</v>
      </c>
      <c r="F332">
        <f>COUNTIFS(A2:A321,C332,D2:D321,F330)</f>
        <v>0</v>
      </c>
      <c r="G332">
        <f>COUNTIFS(A2:A321,C332,D2:D321,G330)</f>
        <v>0</v>
      </c>
      <c r="H332">
        <f>COUNTIFS(A2:A321,C332,D2:D321,H330)</f>
        <v>0</v>
      </c>
      <c r="I332">
        <f>COUNTIFS(A2:A321,C332,D2:D321,I330)</f>
        <v>0</v>
      </c>
      <c r="J332">
        <f>(D332 * 1000000) + (E332 * 100000) + (F332 * 10000) + (G332 * 1000) + (H332 * 100) + (I332 * 10)</f>
        <v>0</v>
      </c>
      <c r="K332">
        <f>COUNTIF(J331:J344,"&lt;"&amp;J332)</f>
        <v>0</v>
      </c>
      <c r="L332">
        <f>COUNTIF(K331:K332,"="&amp;K332)</f>
        <v>0</v>
      </c>
      <c r="M332">
        <f>K332 + L332</f>
        <v>0</v>
      </c>
    </row>
    <row r="333" spans="1:13">
      <c r="C333" t="s">
        <v>542</v>
      </c>
      <c r="D333">
        <f>COUNTIFS(A2:A321,C333,D2:D321,D330)</f>
        <v>0</v>
      </c>
      <c r="E333">
        <f>COUNTIFS(A2:A321,C333,D2:D321,E330)</f>
        <v>0</v>
      </c>
      <c r="F333">
        <f>COUNTIFS(A2:A321,C333,D2:D321,F330)</f>
        <v>0</v>
      </c>
      <c r="G333">
        <f>COUNTIFS(A2:A321,C333,D2:D321,G330)</f>
        <v>0</v>
      </c>
      <c r="H333">
        <f>COUNTIFS(A2:A321,C333,D2:D321,H330)</f>
        <v>0</v>
      </c>
      <c r="I333">
        <f>COUNTIFS(A2:A321,C333,D2:D321,I330)</f>
        <v>0</v>
      </c>
      <c r="J333">
        <f>(D333 * 1000000) + (E333 * 100000) + (F333 * 10000) + (G333 * 1000) + (H333 * 100) + (I333 * 10)</f>
        <v>0</v>
      </c>
      <c r="K333">
        <f>COUNTIF(J331:J344,"&lt;"&amp;J333)</f>
        <v>0</v>
      </c>
      <c r="L333">
        <f>COUNTIF(K331:K333,"="&amp;K333)</f>
        <v>0</v>
      </c>
      <c r="M333">
        <f>K333 + L333</f>
        <v>0</v>
      </c>
    </row>
    <row r="334" spans="1:13">
      <c r="C334" t="s">
        <v>545</v>
      </c>
      <c r="D334">
        <f>COUNTIFS(A2:A321,C334,D2:D321,D330)</f>
        <v>0</v>
      </c>
      <c r="E334">
        <f>COUNTIFS(A2:A321,C334,D2:D321,E330)</f>
        <v>0</v>
      </c>
      <c r="F334">
        <f>COUNTIFS(A2:A321,C334,D2:D321,F330)</f>
        <v>0</v>
      </c>
      <c r="G334">
        <f>COUNTIFS(A2:A321,C334,D2:D321,G330)</f>
        <v>0</v>
      </c>
      <c r="H334">
        <f>COUNTIFS(A2:A321,C334,D2:D321,H330)</f>
        <v>0</v>
      </c>
      <c r="I334">
        <f>COUNTIFS(A2:A321,C334,D2:D321,I330)</f>
        <v>0</v>
      </c>
      <c r="J334">
        <f>(D334 * 1000000) + (E334 * 100000) + (F334 * 10000) + (G334 * 1000) + (H334 * 100) + (I334 * 10)</f>
        <v>0</v>
      </c>
      <c r="K334">
        <f>COUNTIF(J331:J344,"&lt;"&amp;J334)</f>
        <v>0</v>
      </c>
      <c r="L334">
        <f>COUNTIF(K331:K334,"="&amp;K334)</f>
        <v>0</v>
      </c>
      <c r="M334">
        <f>K334 + L334</f>
        <v>0</v>
      </c>
    </row>
    <row r="335" spans="1:13">
      <c r="C335" t="s">
        <v>554</v>
      </c>
      <c r="D335">
        <f>COUNTIFS(A2:A321,C335,D2:D321,D330)</f>
        <v>0</v>
      </c>
      <c r="E335">
        <f>COUNTIFS(A2:A321,C335,D2:D321,E330)</f>
        <v>0</v>
      </c>
      <c r="F335">
        <f>COUNTIFS(A2:A321,C335,D2:D321,F330)</f>
        <v>0</v>
      </c>
      <c r="G335">
        <f>COUNTIFS(A2:A321,C335,D2:D321,G330)</f>
        <v>0</v>
      </c>
      <c r="H335">
        <f>COUNTIFS(A2:A321,C335,D2:D321,H330)</f>
        <v>0</v>
      </c>
      <c r="I335">
        <f>COUNTIFS(A2:A321,C335,D2:D321,I330)</f>
        <v>0</v>
      </c>
      <c r="J335">
        <f>(D335 * 1000000) + (E335 * 100000) + (F335 * 10000) + (G335 * 1000) + (H335 * 100) + (I335 * 10)</f>
        <v>0</v>
      </c>
      <c r="K335">
        <f>COUNTIF(J331:J344,"&lt;"&amp;J335)</f>
        <v>0</v>
      </c>
      <c r="L335">
        <f>COUNTIF(K331:K335,"="&amp;K335)</f>
        <v>0</v>
      </c>
      <c r="M335">
        <f>K335 + L335</f>
        <v>0</v>
      </c>
    </row>
    <row r="336" spans="1:13">
      <c r="C336" t="s">
        <v>556</v>
      </c>
      <c r="D336">
        <f>COUNTIFS(A2:A321,C336,D2:D321,D330)</f>
        <v>0</v>
      </c>
      <c r="E336">
        <f>COUNTIFS(A2:A321,C336,D2:D321,E330)</f>
        <v>0</v>
      </c>
      <c r="F336">
        <f>COUNTIFS(A2:A321,C336,D2:D321,F330)</f>
        <v>0</v>
      </c>
      <c r="G336">
        <f>COUNTIFS(A2:A321,C336,D2:D321,G330)</f>
        <v>0</v>
      </c>
      <c r="H336">
        <f>COUNTIFS(A2:A321,C336,D2:D321,H330)</f>
        <v>0</v>
      </c>
      <c r="I336">
        <f>COUNTIFS(A2:A321,C336,D2:D321,I330)</f>
        <v>0</v>
      </c>
      <c r="J336">
        <f>(D336 * 1000000) + (E336 * 100000) + (F336 * 10000) + (G336 * 1000) + (H336 * 100) + (I336 * 10)</f>
        <v>0</v>
      </c>
      <c r="K336">
        <f>COUNTIF(J331:J344,"&lt;"&amp;J336)</f>
        <v>0</v>
      </c>
      <c r="L336">
        <f>COUNTIF(K331:K336,"="&amp;K336)</f>
        <v>0</v>
      </c>
      <c r="M336">
        <f>K336 + L336</f>
        <v>0</v>
      </c>
    </row>
    <row r="337" spans="1:17">
      <c r="C337" t="s">
        <v>561</v>
      </c>
      <c r="D337">
        <f>COUNTIFS(A2:A321,C337,D2:D321,D330)</f>
        <v>0</v>
      </c>
      <c r="E337">
        <f>COUNTIFS(A2:A321,C337,D2:D321,E330)</f>
        <v>0</v>
      </c>
      <c r="F337">
        <f>COUNTIFS(A2:A321,C337,D2:D321,F330)</f>
        <v>0</v>
      </c>
      <c r="G337">
        <f>COUNTIFS(A2:A321,C337,D2:D321,G330)</f>
        <v>0</v>
      </c>
      <c r="H337">
        <f>COUNTIFS(A2:A321,C337,D2:D321,H330)</f>
        <v>0</v>
      </c>
      <c r="I337">
        <f>COUNTIFS(A2:A321,C337,D2:D321,I330)</f>
        <v>0</v>
      </c>
      <c r="J337">
        <f>(D337 * 1000000) + (E337 * 100000) + (F337 * 10000) + (G337 * 1000) + (H337 * 100) + (I337 * 10)</f>
        <v>0</v>
      </c>
      <c r="K337">
        <f>COUNTIF(J331:J344,"&lt;"&amp;J337)</f>
        <v>0</v>
      </c>
      <c r="L337">
        <f>COUNTIF(K331:K337,"="&amp;K337)</f>
        <v>0</v>
      </c>
      <c r="M337">
        <f>K337 + L337</f>
        <v>0</v>
      </c>
    </row>
    <row r="338" spans="1:17">
      <c r="C338" t="s">
        <v>563</v>
      </c>
      <c r="D338">
        <f>COUNTIFS(A2:A321,C338,D2:D321,D330)</f>
        <v>0</v>
      </c>
      <c r="E338">
        <f>COUNTIFS(A2:A321,C338,D2:D321,E330)</f>
        <v>0</v>
      </c>
      <c r="F338">
        <f>COUNTIFS(A2:A321,C338,D2:D321,F330)</f>
        <v>0</v>
      </c>
      <c r="G338">
        <f>COUNTIFS(A2:A321,C338,D2:D321,G330)</f>
        <v>0</v>
      </c>
      <c r="H338">
        <f>COUNTIFS(A2:A321,C338,D2:D321,H330)</f>
        <v>0</v>
      </c>
      <c r="I338">
        <f>COUNTIFS(A2:A321,C338,D2:D321,I330)</f>
        <v>0</v>
      </c>
      <c r="J338">
        <f>(D338 * 1000000) + (E338 * 100000) + (F338 * 10000) + (G338 * 1000) + (H338 * 100) + (I338 * 10)</f>
        <v>0</v>
      </c>
      <c r="K338">
        <f>COUNTIF(J331:J344,"&lt;"&amp;J338)</f>
        <v>0</v>
      </c>
      <c r="L338">
        <f>COUNTIF(K331:K338,"="&amp;K338)</f>
        <v>0</v>
      </c>
      <c r="M338">
        <f>K338 + L338</f>
        <v>0</v>
      </c>
    </row>
    <row r="339" spans="1:17">
      <c r="C339" t="s">
        <v>574</v>
      </c>
      <c r="D339">
        <f>COUNTIFS(A2:A321,C339,D2:D321,D330)</f>
        <v>0</v>
      </c>
      <c r="E339">
        <f>COUNTIFS(A2:A321,C339,D2:D321,E330)</f>
        <v>0</v>
      </c>
      <c r="F339">
        <f>COUNTIFS(A2:A321,C339,D2:D321,F330)</f>
        <v>0</v>
      </c>
      <c r="G339">
        <f>COUNTIFS(A2:A321,C339,D2:D321,G330)</f>
        <v>0</v>
      </c>
      <c r="H339">
        <f>COUNTIFS(A2:A321,C339,D2:D321,H330)</f>
        <v>0</v>
      </c>
      <c r="I339">
        <f>COUNTIFS(A2:A321,C339,D2:D321,I330)</f>
        <v>0</v>
      </c>
      <c r="J339">
        <f>(D339 * 1000000) + (E339 * 100000) + (F339 * 10000) + (G339 * 1000) + (H339 * 100) + (I339 * 10)</f>
        <v>0</v>
      </c>
      <c r="K339">
        <f>COUNTIF(J331:J344,"&lt;"&amp;J339)</f>
        <v>0</v>
      </c>
      <c r="L339">
        <f>COUNTIF(K331:K339,"="&amp;K339)</f>
        <v>0</v>
      </c>
      <c r="M339">
        <f>K339 + L339</f>
        <v>0</v>
      </c>
    </row>
    <row r="340" spans="1:17">
      <c r="C340" t="s">
        <v>576</v>
      </c>
      <c r="D340">
        <f>COUNTIFS(A2:A321,C340,D2:D321,D330)</f>
        <v>0</v>
      </c>
      <c r="E340">
        <f>COUNTIFS(A2:A321,C340,D2:D321,E330)</f>
        <v>0</v>
      </c>
      <c r="F340">
        <f>COUNTIFS(A2:A321,C340,D2:D321,F330)</f>
        <v>0</v>
      </c>
      <c r="G340">
        <f>COUNTIFS(A2:A321,C340,D2:D321,G330)</f>
        <v>0</v>
      </c>
      <c r="H340">
        <f>COUNTIFS(A2:A321,C340,D2:D321,H330)</f>
        <v>0</v>
      </c>
      <c r="I340">
        <f>COUNTIFS(A2:A321,C340,D2:D321,I330)</f>
        <v>0</v>
      </c>
      <c r="J340">
        <f>(D340 * 1000000) + (E340 * 100000) + (F340 * 10000) + (G340 * 1000) + (H340 * 100) + (I340 * 10)</f>
        <v>0</v>
      </c>
      <c r="K340">
        <f>COUNTIF(J331:J344,"&lt;"&amp;J340)</f>
        <v>0</v>
      </c>
      <c r="L340">
        <f>COUNTIF(K331:K340,"="&amp;K340)</f>
        <v>0</v>
      </c>
      <c r="M340">
        <f>K340 + L340</f>
        <v>0</v>
      </c>
    </row>
    <row r="341" spans="1:17">
      <c r="C341" t="s">
        <v>610</v>
      </c>
      <c r="D341">
        <f>COUNTIFS(A2:A321,C341,D2:D321,D330)</f>
        <v>0</v>
      </c>
      <c r="E341">
        <f>COUNTIFS(A2:A321,C341,D2:D321,E330)</f>
        <v>0</v>
      </c>
      <c r="F341">
        <f>COUNTIFS(A2:A321,C341,D2:D321,F330)</f>
        <v>0</v>
      </c>
      <c r="G341">
        <f>COUNTIFS(A2:A321,C341,D2:D321,G330)</f>
        <v>0</v>
      </c>
      <c r="H341">
        <f>COUNTIFS(A2:A321,C341,D2:D321,H330)</f>
        <v>0</v>
      </c>
      <c r="I341">
        <f>COUNTIFS(A2:A321,C341,D2:D321,I330)</f>
        <v>0</v>
      </c>
      <c r="J341">
        <f>(D341 * 1000000) + (E341 * 100000) + (F341 * 10000) + (G341 * 1000) + (H341 * 100) + (I341 * 10)</f>
        <v>0</v>
      </c>
      <c r="K341">
        <f>COUNTIF(J331:J344,"&lt;"&amp;J341)</f>
        <v>0</v>
      </c>
      <c r="L341">
        <f>COUNTIF(K331:K341,"="&amp;K341)</f>
        <v>0</v>
      </c>
      <c r="M341">
        <f>K341 + L341</f>
        <v>0</v>
      </c>
    </row>
    <row r="342" spans="1:17">
      <c r="C342" t="s">
        <v>596</v>
      </c>
      <c r="D342">
        <f>COUNTIFS(A2:A321,C342,D2:D321,D330)</f>
        <v>0</v>
      </c>
      <c r="E342">
        <f>COUNTIFS(A2:A321,C342,D2:D321,E330)</f>
        <v>0</v>
      </c>
      <c r="F342">
        <f>COUNTIFS(A2:A321,C342,D2:D321,F330)</f>
        <v>0</v>
      </c>
      <c r="G342">
        <f>COUNTIFS(A2:A321,C342,D2:D321,G330)</f>
        <v>0</v>
      </c>
      <c r="H342">
        <f>COUNTIFS(A2:A321,C342,D2:D321,H330)</f>
        <v>0</v>
      </c>
      <c r="I342">
        <f>COUNTIFS(A2:A321,C342,D2:D321,I330)</f>
        <v>0</v>
      </c>
      <c r="J342">
        <f>(D342 * 1000000) + (E342 * 100000) + (F342 * 10000) + (G342 * 1000) + (H342 * 100) + (I342 * 10)</f>
        <v>0</v>
      </c>
      <c r="K342">
        <f>COUNTIF(J331:J344,"&lt;"&amp;J342)</f>
        <v>0</v>
      </c>
      <c r="L342">
        <f>COUNTIF(K331:K342,"="&amp;K342)</f>
        <v>0</v>
      </c>
      <c r="M342">
        <f>K342 + L342</f>
        <v>0</v>
      </c>
    </row>
    <row r="343" spans="1:17">
      <c r="C343" t="s">
        <v>600</v>
      </c>
      <c r="D343">
        <f>COUNTIFS(A2:A321,C343,D2:D321,D330)</f>
        <v>0</v>
      </c>
      <c r="E343">
        <f>COUNTIFS(A2:A321,C343,D2:D321,E330)</f>
        <v>0</v>
      </c>
      <c r="F343">
        <f>COUNTIFS(A2:A321,C343,D2:D321,F330)</f>
        <v>0</v>
      </c>
      <c r="G343">
        <f>COUNTIFS(A2:A321,C343,D2:D321,G330)</f>
        <v>0</v>
      </c>
      <c r="H343">
        <f>COUNTIFS(A2:A321,C343,D2:D321,H330)</f>
        <v>0</v>
      </c>
      <c r="I343">
        <f>COUNTIFS(A2:A321,C343,D2:D321,I330)</f>
        <v>0</v>
      </c>
      <c r="J343">
        <f>(D343 * 1000000) + (E343 * 100000) + (F343 * 10000) + (G343 * 1000) + (H343 * 100) + (I343 * 10)</f>
        <v>0</v>
      </c>
      <c r="K343">
        <f>COUNTIF(J331:J344,"&lt;"&amp;J343)</f>
        <v>0</v>
      </c>
      <c r="L343">
        <f>COUNTIF(K331:K343,"="&amp;K343)</f>
        <v>0</v>
      </c>
      <c r="M343">
        <f>K343 + L343</f>
        <v>0</v>
      </c>
    </row>
    <row r="344" spans="1:17">
      <c r="C344" t="s">
        <v>602</v>
      </c>
      <c r="D344">
        <f>COUNTIFS(A2:A321,C344,D2:D321,D330)</f>
        <v>0</v>
      </c>
      <c r="E344">
        <f>COUNTIFS(A2:A321,C344,D2:D321,E330)</f>
        <v>0</v>
      </c>
      <c r="F344">
        <f>COUNTIFS(A2:A321,C344,D2:D321,F330)</f>
        <v>0</v>
      </c>
      <c r="G344">
        <f>COUNTIFS(A2:A321,C344,D2:D321,G330)</f>
        <v>0</v>
      </c>
      <c r="H344">
        <f>COUNTIFS(A2:A321,C344,D2:D321,H330)</f>
        <v>0</v>
      </c>
      <c r="I344">
        <f>COUNTIFS(A2:A321,C344,D2:D321,I330)</f>
        <v>0</v>
      </c>
      <c r="J344">
        <f>(D344 * 1000000) + (E344 * 100000) + (F344 * 10000) + (G344 * 1000) + (H344 * 100) + (I344 * 10)</f>
        <v>0</v>
      </c>
      <c r="K344">
        <f>COUNTIF(J331:J344,"&lt;"&amp;J344)</f>
        <v>0</v>
      </c>
      <c r="L344">
        <f>COUNTIF(K331:K344,"="&amp;K344)</f>
        <v>0</v>
      </c>
      <c r="M344">
        <f>K344 + L344</f>
        <v>0</v>
      </c>
    </row>
    <row r="348" spans="1:17">
      <c r="A348" t="s">
        <v>628</v>
      </c>
    </row>
    <row r="349" spans="1:17">
      <c r="A349" t="s">
        <v>629</v>
      </c>
      <c r="B349" t="s">
        <v>630</v>
      </c>
      <c r="D349" t="s">
        <v>46</v>
      </c>
      <c r="E349" t="s">
        <v>47</v>
      </c>
      <c r="F349" t="s">
        <v>48</v>
      </c>
      <c r="G349" t="s">
        <v>49</v>
      </c>
      <c r="H349" t="s">
        <v>50</v>
      </c>
      <c r="I349" t="s">
        <v>51</v>
      </c>
      <c r="J349" t="s">
        <v>631</v>
      </c>
      <c r="K349">
        <f>VLOOKUP("Yes",DATA_SUPPORT!$D$2:$E$51,2)</f>
        <v>0</v>
      </c>
      <c r="L349">
        <f>VLOOKUP("It Does Not Apply",DATA_SUPPORT!$D$2:$E$51,2)</f>
        <v>0</v>
      </c>
      <c r="M349">
        <f>VLOOKUP("Partially",DATA_SUPPORT!$D$2:$E$51,2)</f>
        <v>0</v>
      </c>
      <c r="N349">
        <f>VLOOKUP("I Have Done An Alternative Approach",DATA_SUPPORT!$D$2:$E$51,2)</f>
        <v>0</v>
      </c>
      <c r="O349">
        <f>VLOOKUP("No",DATA_SUPPORT!$D$2:$E$51,2)</f>
        <v>0</v>
      </c>
      <c r="P349">
        <f>VLOOKUP("No Answer",DATA_SUPPORT!$D$2:$E$51,2)</f>
        <v>0</v>
      </c>
      <c r="Q349" t="s">
        <v>632</v>
      </c>
    </row>
    <row r="350" spans="1:17">
      <c r="A350">
        <f>1</f>
        <v>0</v>
      </c>
      <c r="B350">
        <f>MATCH(A350, M331:M344, 0)</f>
        <v>0</v>
      </c>
      <c r="C350">
        <f>INDEX(C331:C344, B350, 1)</f>
        <v>0</v>
      </c>
      <c r="D350">
        <f>INDEX(D331:D344, B350, 1)</f>
        <v>0</v>
      </c>
      <c r="E350">
        <f>INDEX(E331:E344, B350, 1)</f>
        <v>0</v>
      </c>
      <c r="F350">
        <f>INDEX(F331:F344, B350, 1)</f>
        <v>0</v>
      </c>
      <c r="G350">
        <f>INDEX(G331:G344, B350, 1)</f>
        <v>0</v>
      </c>
      <c r="H350">
        <f>INDEX(H331:H344, B350, 1)</f>
        <v>0</v>
      </c>
      <c r="I350">
        <f>INDEX(I331:I344, B350, 1)</f>
        <v>0</v>
      </c>
      <c r="J350">
        <f>VLOOKUP(C350,DATA_SUPPORT!$D$2:$E$51,2)</f>
        <v>0</v>
      </c>
      <c r="K350">
        <f>D350*DATA_SUPPORT!$G$5</f>
        <v>0</v>
      </c>
      <c r="L350">
        <f>E350*DATA_SUPPORT!$G$5</f>
        <v>0</v>
      </c>
      <c r="M350">
        <f>F350*DATA_SUPPORT!$G$5</f>
        <v>0</v>
      </c>
      <c r="N350">
        <f>G350*DATA_SUPPORT!$G$5</f>
        <v>0</v>
      </c>
      <c r="O350">
        <f>H350*DATA_SUPPORT!$G$5</f>
        <v>0</v>
      </c>
      <c r="P350">
        <f>I350*DATA_SUPPORT!$G$5</f>
        <v>0</v>
      </c>
      <c r="Q350">
        <f>CHAR(34) &amp; K349 &amp; CHAR(34) &amp; ":" &amp; K350 &amp; ", " &amp; CHAR(34) &amp; L349 &amp; CHAR(34) &amp; ":" &amp; L350 &amp; ", " &amp; CHAR(34) &amp; M349 &amp; CHAR(34) &amp; ":" &amp; M350 &amp; ", " &amp; CHAR(34) &amp; N349 &amp; CHAR(34) &amp; ":" &amp; N350 &amp; ", " &amp; CHAR(34) &amp; O349 &amp; CHAR(34) &amp; ":" &amp; O350 &amp; ", " &amp; CHAR(34) &amp; P349 &amp; CHAR(34) &amp; ":" &amp; P350</f>
        <v>0</v>
      </c>
    </row>
    <row r="351" spans="1:17">
      <c r="A351">
        <f>2</f>
        <v>0</v>
      </c>
      <c r="B351">
        <f>MATCH(A351, M331:M344, 0)</f>
        <v>0</v>
      </c>
      <c r="C351">
        <f>INDEX(C331:C344, B351, 1)</f>
        <v>0</v>
      </c>
      <c r="D351">
        <f>INDEX(D331:D344, B351, 1)</f>
        <v>0</v>
      </c>
      <c r="E351">
        <f>INDEX(E331:E344, B351, 1)</f>
        <v>0</v>
      </c>
      <c r="F351">
        <f>INDEX(F331:F344, B351, 1)</f>
        <v>0</v>
      </c>
      <c r="G351">
        <f>INDEX(G331:G344, B351, 1)</f>
        <v>0</v>
      </c>
      <c r="H351">
        <f>INDEX(H331:H344, B351, 1)</f>
        <v>0</v>
      </c>
      <c r="I351">
        <f>INDEX(I331:I344, B351, 1)</f>
        <v>0</v>
      </c>
      <c r="J351">
        <f>VLOOKUP(C351,DATA_SUPPORT!$D$2:$E$51,2)</f>
        <v>0</v>
      </c>
      <c r="K351">
        <f>D351*DATA_SUPPORT!$G$5</f>
        <v>0</v>
      </c>
      <c r="L351">
        <f>E351*DATA_SUPPORT!$G$5</f>
        <v>0</v>
      </c>
      <c r="M351">
        <f>F351*DATA_SUPPORT!$G$5</f>
        <v>0</v>
      </c>
      <c r="N351">
        <f>G351*DATA_SUPPORT!$G$5</f>
        <v>0</v>
      </c>
      <c r="O351">
        <f>H351*DATA_SUPPORT!$G$5</f>
        <v>0</v>
      </c>
      <c r="P351">
        <f>I351*DATA_SUPPORT!$G$5</f>
        <v>0</v>
      </c>
      <c r="Q351">
        <f>CHAR(34) &amp; K349 &amp; CHAR(34) &amp; ":" &amp; K351 &amp; ", " &amp; CHAR(34) &amp; L349 &amp; CHAR(34) &amp; ":" &amp; L351 &amp; ", " &amp; CHAR(34) &amp; M349 &amp; CHAR(34) &amp; ":" &amp; M351 &amp; ", " &amp; CHAR(34) &amp; N349 &amp; CHAR(34) &amp; ":" &amp; N351 &amp; ", " &amp; CHAR(34) &amp; O349 &amp; CHAR(34) &amp; ":" &amp; O351 &amp; ", " &amp; CHAR(34) &amp; P349 &amp; CHAR(34) &amp; ":" &amp; P351</f>
        <v>0</v>
      </c>
    </row>
    <row r="352" spans="1:17">
      <c r="A352">
        <f>3</f>
        <v>0</v>
      </c>
      <c r="B352">
        <f>MATCH(A352, M331:M344, 0)</f>
        <v>0</v>
      </c>
      <c r="C352">
        <f>INDEX(C331:C344, B352, 1)</f>
        <v>0</v>
      </c>
      <c r="D352">
        <f>INDEX(D331:D344, B352, 1)</f>
        <v>0</v>
      </c>
      <c r="E352">
        <f>INDEX(E331:E344, B352, 1)</f>
        <v>0</v>
      </c>
      <c r="F352">
        <f>INDEX(F331:F344, B352, 1)</f>
        <v>0</v>
      </c>
      <c r="G352">
        <f>INDEX(G331:G344, B352, 1)</f>
        <v>0</v>
      </c>
      <c r="H352">
        <f>INDEX(H331:H344, B352, 1)</f>
        <v>0</v>
      </c>
      <c r="I352">
        <f>INDEX(I331:I344, B352, 1)</f>
        <v>0</v>
      </c>
      <c r="J352">
        <f>VLOOKUP(C352,DATA_SUPPORT!$D$2:$E$51,2)</f>
        <v>0</v>
      </c>
      <c r="K352">
        <f>D352*DATA_SUPPORT!$G$5</f>
        <v>0</v>
      </c>
      <c r="L352">
        <f>E352*DATA_SUPPORT!$G$5</f>
        <v>0</v>
      </c>
      <c r="M352">
        <f>F352*DATA_SUPPORT!$G$5</f>
        <v>0</v>
      </c>
      <c r="N352">
        <f>G352*DATA_SUPPORT!$G$5</f>
        <v>0</v>
      </c>
      <c r="O352">
        <f>H352*DATA_SUPPORT!$G$5</f>
        <v>0</v>
      </c>
      <c r="P352">
        <f>I352*DATA_SUPPORT!$G$5</f>
        <v>0</v>
      </c>
      <c r="Q352">
        <f>CHAR(34) &amp; K349 &amp; CHAR(34) &amp; ":" &amp; K352 &amp; ", " &amp; CHAR(34) &amp; L349 &amp; CHAR(34) &amp; ":" &amp; L352 &amp; ", " &amp; CHAR(34) &amp; M349 &amp; CHAR(34) &amp; ":" &amp; M352 &amp; ", " &amp; CHAR(34) &amp; N349 &amp; CHAR(34) &amp; ":" &amp; N352 &amp; ", " &amp; CHAR(34) &amp; O349 &amp; CHAR(34) &amp; ":" &amp; O352 &amp; ", " &amp; CHAR(34) &amp; P349 &amp; CHAR(34) &amp; ":" &amp; P352</f>
        <v>0</v>
      </c>
    </row>
    <row r="353" spans="1:17">
      <c r="A353">
        <f>4</f>
        <v>0</v>
      </c>
      <c r="B353">
        <f>MATCH(A353, M331:M344, 0)</f>
        <v>0</v>
      </c>
      <c r="C353">
        <f>INDEX(C331:C344, B353, 1)</f>
        <v>0</v>
      </c>
      <c r="D353">
        <f>INDEX(D331:D344, B353, 1)</f>
        <v>0</v>
      </c>
      <c r="E353">
        <f>INDEX(E331:E344, B353, 1)</f>
        <v>0</v>
      </c>
      <c r="F353">
        <f>INDEX(F331:F344, B353, 1)</f>
        <v>0</v>
      </c>
      <c r="G353">
        <f>INDEX(G331:G344, B353, 1)</f>
        <v>0</v>
      </c>
      <c r="H353">
        <f>INDEX(H331:H344, B353, 1)</f>
        <v>0</v>
      </c>
      <c r="I353">
        <f>INDEX(I331:I344, B353, 1)</f>
        <v>0</v>
      </c>
      <c r="J353">
        <f>VLOOKUP(C353,DATA_SUPPORT!$D$2:$E$51,2)</f>
        <v>0</v>
      </c>
      <c r="K353">
        <f>D353*DATA_SUPPORT!$G$5</f>
        <v>0</v>
      </c>
      <c r="L353">
        <f>E353*DATA_SUPPORT!$G$5</f>
        <v>0</v>
      </c>
      <c r="M353">
        <f>F353*DATA_SUPPORT!$G$5</f>
        <v>0</v>
      </c>
      <c r="N353">
        <f>G353*DATA_SUPPORT!$G$5</f>
        <v>0</v>
      </c>
      <c r="O353">
        <f>H353*DATA_SUPPORT!$G$5</f>
        <v>0</v>
      </c>
      <c r="P353">
        <f>I353*DATA_SUPPORT!$G$5</f>
        <v>0</v>
      </c>
      <c r="Q353">
        <f>CHAR(34) &amp; K349 &amp; CHAR(34) &amp; ":" &amp; K353 &amp; ", " &amp; CHAR(34) &amp; L349 &amp; CHAR(34) &amp; ":" &amp; L353 &amp; ", " &amp; CHAR(34) &amp; M349 &amp; CHAR(34) &amp; ":" &amp; M353 &amp; ", " &amp; CHAR(34) &amp; N349 &amp; CHAR(34) &amp; ":" &amp; N353 &amp; ", " &amp; CHAR(34) &amp; O349 &amp; CHAR(34) &amp; ":" &amp; O353 &amp; ", " &amp; CHAR(34) &amp; P349 &amp; CHAR(34) &amp; ":" &amp; P353</f>
        <v>0</v>
      </c>
    </row>
    <row r="354" spans="1:17">
      <c r="A354">
        <f>5</f>
        <v>0</v>
      </c>
      <c r="B354">
        <f>MATCH(A354, M331:M344, 0)</f>
        <v>0</v>
      </c>
      <c r="C354">
        <f>INDEX(C331:C344, B354, 1)</f>
        <v>0</v>
      </c>
      <c r="D354">
        <f>INDEX(D331:D344, B354, 1)</f>
        <v>0</v>
      </c>
      <c r="E354">
        <f>INDEX(E331:E344, B354, 1)</f>
        <v>0</v>
      </c>
      <c r="F354">
        <f>INDEX(F331:F344, B354, 1)</f>
        <v>0</v>
      </c>
      <c r="G354">
        <f>INDEX(G331:G344, B354, 1)</f>
        <v>0</v>
      </c>
      <c r="H354">
        <f>INDEX(H331:H344, B354, 1)</f>
        <v>0</v>
      </c>
      <c r="I354">
        <f>INDEX(I331:I344, B354, 1)</f>
        <v>0</v>
      </c>
      <c r="J354">
        <f>VLOOKUP(C354,DATA_SUPPORT!$D$2:$E$51,2)</f>
        <v>0</v>
      </c>
      <c r="K354">
        <f>D354*DATA_SUPPORT!$G$5</f>
        <v>0</v>
      </c>
      <c r="L354">
        <f>E354*DATA_SUPPORT!$G$5</f>
        <v>0</v>
      </c>
      <c r="M354">
        <f>F354*DATA_SUPPORT!$G$5</f>
        <v>0</v>
      </c>
      <c r="N354">
        <f>G354*DATA_SUPPORT!$G$5</f>
        <v>0</v>
      </c>
      <c r="O354">
        <f>H354*DATA_SUPPORT!$G$5</f>
        <v>0</v>
      </c>
      <c r="P354">
        <f>I354*DATA_SUPPORT!$G$5</f>
        <v>0</v>
      </c>
      <c r="Q354">
        <f>CHAR(34) &amp; K349 &amp; CHAR(34) &amp; ":" &amp; K354 &amp; ", " &amp; CHAR(34) &amp; L349 &amp; CHAR(34) &amp; ":" &amp; L354 &amp; ", " &amp; CHAR(34) &amp; M349 &amp; CHAR(34) &amp; ":" &amp; M354 &amp; ", " &amp; CHAR(34) &amp; N349 &amp; CHAR(34) &amp; ":" &amp; N354 &amp; ", " &amp; CHAR(34) &amp; O349 &amp; CHAR(34) &amp; ":" &amp; O354 &amp; ", " &amp; CHAR(34) &amp; P349 &amp; CHAR(34) &amp; ":" &amp; P354</f>
        <v>0</v>
      </c>
    </row>
    <row r="355" spans="1:17">
      <c r="A355">
        <f>6</f>
        <v>0</v>
      </c>
      <c r="B355">
        <f>MATCH(A355, M331:M344, 0)</f>
        <v>0</v>
      </c>
      <c r="C355">
        <f>INDEX(C331:C344, B355, 1)</f>
        <v>0</v>
      </c>
      <c r="D355">
        <f>INDEX(D331:D344, B355, 1)</f>
        <v>0</v>
      </c>
      <c r="E355">
        <f>INDEX(E331:E344, B355, 1)</f>
        <v>0</v>
      </c>
      <c r="F355">
        <f>INDEX(F331:F344, B355, 1)</f>
        <v>0</v>
      </c>
      <c r="G355">
        <f>INDEX(G331:G344, B355, 1)</f>
        <v>0</v>
      </c>
      <c r="H355">
        <f>INDEX(H331:H344, B355, 1)</f>
        <v>0</v>
      </c>
      <c r="I355">
        <f>INDEX(I331:I344, B355, 1)</f>
        <v>0</v>
      </c>
      <c r="J355">
        <f>VLOOKUP(C355,DATA_SUPPORT!$D$2:$E$51,2)</f>
        <v>0</v>
      </c>
      <c r="K355">
        <f>D355*DATA_SUPPORT!$G$5</f>
        <v>0</v>
      </c>
      <c r="L355">
        <f>E355*DATA_SUPPORT!$G$5</f>
        <v>0</v>
      </c>
      <c r="M355">
        <f>F355*DATA_SUPPORT!$G$5</f>
        <v>0</v>
      </c>
      <c r="N355">
        <f>G355*DATA_SUPPORT!$G$5</f>
        <v>0</v>
      </c>
      <c r="O355">
        <f>H355*DATA_SUPPORT!$G$5</f>
        <v>0</v>
      </c>
      <c r="P355">
        <f>I355*DATA_SUPPORT!$G$5</f>
        <v>0</v>
      </c>
      <c r="Q355">
        <f>CHAR(34) &amp; K349 &amp; CHAR(34) &amp; ":" &amp; K355 &amp; ", " &amp; CHAR(34) &amp; L349 &amp; CHAR(34) &amp; ":" &amp; L355 &amp; ", " &amp; CHAR(34) &amp; M349 &amp; CHAR(34) &amp; ":" &amp; M355 &amp; ", " &amp; CHAR(34) &amp; N349 &amp; CHAR(34) &amp; ":" &amp; N355 &amp; ", " &amp; CHAR(34) &amp; O349 &amp; CHAR(34) &amp; ":" &amp; O355 &amp; ", " &amp; CHAR(34) &amp; P349 &amp; CHAR(34) &amp; ":" &amp; P355</f>
        <v>0</v>
      </c>
    </row>
    <row r="356" spans="1:17">
      <c r="A356">
        <f>7</f>
        <v>0</v>
      </c>
      <c r="B356">
        <f>MATCH(A356, M331:M344, 0)</f>
        <v>0</v>
      </c>
      <c r="C356">
        <f>INDEX(C331:C344, B356, 1)</f>
        <v>0</v>
      </c>
      <c r="D356">
        <f>INDEX(D331:D344, B356, 1)</f>
        <v>0</v>
      </c>
      <c r="E356">
        <f>INDEX(E331:E344, B356, 1)</f>
        <v>0</v>
      </c>
      <c r="F356">
        <f>INDEX(F331:F344, B356, 1)</f>
        <v>0</v>
      </c>
      <c r="G356">
        <f>INDEX(G331:G344, B356, 1)</f>
        <v>0</v>
      </c>
      <c r="H356">
        <f>INDEX(H331:H344, B356, 1)</f>
        <v>0</v>
      </c>
      <c r="I356">
        <f>INDEX(I331:I344, B356, 1)</f>
        <v>0</v>
      </c>
      <c r="J356">
        <f>VLOOKUP(C356,DATA_SUPPORT!$D$2:$E$51,2)</f>
        <v>0</v>
      </c>
      <c r="K356">
        <f>D356*DATA_SUPPORT!$G$5</f>
        <v>0</v>
      </c>
      <c r="L356">
        <f>E356*DATA_SUPPORT!$G$5</f>
        <v>0</v>
      </c>
      <c r="M356">
        <f>F356*DATA_SUPPORT!$G$5</f>
        <v>0</v>
      </c>
      <c r="N356">
        <f>G356*DATA_SUPPORT!$G$5</f>
        <v>0</v>
      </c>
      <c r="O356">
        <f>H356*DATA_SUPPORT!$G$5</f>
        <v>0</v>
      </c>
      <c r="P356">
        <f>I356*DATA_SUPPORT!$G$5</f>
        <v>0</v>
      </c>
      <c r="Q356">
        <f>CHAR(34) &amp; K349 &amp; CHAR(34) &amp; ":" &amp; K356 &amp; ", " &amp; CHAR(34) &amp; L349 &amp; CHAR(34) &amp; ":" &amp; L356 &amp; ", " &amp; CHAR(34) &amp; M349 &amp; CHAR(34) &amp; ":" &amp; M356 &amp; ", " &amp; CHAR(34) &amp; N349 &amp; CHAR(34) &amp; ":" &amp; N356 &amp; ", " &amp; CHAR(34) &amp; O349 &amp; CHAR(34) &amp; ":" &amp; O356 &amp; ", " &amp; CHAR(34) &amp; P349 &amp; CHAR(34) &amp; ":" &amp; P356</f>
        <v>0</v>
      </c>
    </row>
    <row r="357" spans="1:17">
      <c r="A357">
        <f>8</f>
        <v>0</v>
      </c>
      <c r="B357">
        <f>MATCH(A357, M331:M344, 0)</f>
        <v>0</v>
      </c>
      <c r="C357">
        <f>INDEX(C331:C344, B357, 1)</f>
        <v>0</v>
      </c>
      <c r="D357">
        <f>INDEX(D331:D344, B357, 1)</f>
        <v>0</v>
      </c>
      <c r="E357">
        <f>INDEX(E331:E344, B357, 1)</f>
        <v>0</v>
      </c>
      <c r="F357">
        <f>INDEX(F331:F344, B357, 1)</f>
        <v>0</v>
      </c>
      <c r="G357">
        <f>INDEX(G331:G344, B357, 1)</f>
        <v>0</v>
      </c>
      <c r="H357">
        <f>INDEX(H331:H344, B357, 1)</f>
        <v>0</v>
      </c>
      <c r="I357">
        <f>INDEX(I331:I344, B357, 1)</f>
        <v>0</v>
      </c>
      <c r="J357">
        <f>VLOOKUP(C357,DATA_SUPPORT!$D$2:$E$51,2)</f>
        <v>0</v>
      </c>
      <c r="K357">
        <f>D357*DATA_SUPPORT!$G$5</f>
        <v>0</v>
      </c>
      <c r="L357">
        <f>E357*DATA_SUPPORT!$G$5</f>
        <v>0</v>
      </c>
      <c r="M357">
        <f>F357*DATA_SUPPORT!$G$5</f>
        <v>0</v>
      </c>
      <c r="N357">
        <f>G357*DATA_SUPPORT!$G$5</f>
        <v>0</v>
      </c>
      <c r="O357">
        <f>H357*DATA_SUPPORT!$G$5</f>
        <v>0</v>
      </c>
      <c r="P357">
        <f>I357*DATA_SUPPORT!$G$5</f>
        <v>0</v>
      </c>
      <c r="Q357">
        <f>CHAR(34) &amp; K349 &amp; CHAR(34) &amp; ":" &amp; K357 &amp; ", " &amp; CHAR(34) &amp; L349 &amp; CHAR(34) &amp; ":" &amp; L357 &amp; ", " &amp; CHAR(34) &amp; M349 &amp; CHAR(34) &amp; ":" &amp; M357 &amp; ", " &amp; CHAR(34) &amp; N349 &amp; CHAR(34) &amp; ":" &amp; N357 &amp; ", " &amp; CHAR(34) &amp; O349 &amp; CHAR(34) &amp; ":" &amp; O357 &amp; ", " &amp; CHAR(34) &amp; P349 &amp; CHAR(34) &amp; ":" &amp; P357</f>
        <v>0</v>
      </c>
    </row>
    <row r="358" spans="1:17">
      <c r="A358">
        <f>9</f>
        <v>0</v>
      </c>
      <c r="B358">
        <f>MATCH(A358, M331:M344, 0)</f>
        <v>0</v>
      </c>
      <c r="C358">
        <f>INDEX(C331:C344, B358, 1)</f>
        <v>0</v>
      </c>
      <c r="D358">
        <f>INDEX(D331:D344, B358, 1)</f>
        <v>0</v>
      </c>
      <c r="E358">
        <f>INDEX(E331:E344, B358, 1)</f>
        <v>0</v>
      </c>
      <c r="F358">
        <f>INDEX(F331:F344, B358, 1)</f>
        <v>0</v>
      </c>
      <c r="G358">
        <f>INDEX(G331:G344, B358, 1)</f>
        <v>0</v>
      </c>
      <c r="H358">
        <f>INDEX(H331:H344, B358, 1)</f>
        <v>0</v>
      </c>
      <c r="I358">
        <f>INDEX(I331:I344, B358, 1)</f>
        <v>0</v>
      </c>
      <c r="J358">
        <f>VLOOKUP(C358,DATA_SUPPORT!$D$2:$E$51,2)</f>
        <v>0</v>
      </c>
      <c r="K358">
        <f>D358*DATA_SUPPORT!$G$5</f>
        <v>0</v>
      </c>
      <c r="L358">
        <f>E358*DATA_SUPPORT!$G$5</f>
        <v>0</v>
      </c>
      <c r="M358">
        <f>F358*DATA_SUPPORT!$G$5</f>
        <v>0</v>
      </c>
      <c r="N358">
        <f>G358*DATA_SUPPORT!$G$5</f>
        <v>0</v>
      </c>
      <c r="O358">
        <f>H358*DATA_SUPPORT!$G$5</f>
        <v>0</v>
      </c>
      <c r="P358">
        <f>I358*DATA_SUPPORT!$G$5</f>
        <v>0</v>
      </c>
      <c r="Q358">
        <f>CHAR(34) &amp; K349 &amp; CHAR(34) &amp; ":" &amp; K358 &amp; ", " &amp; CHAR(34) &amp; L349 &amp; CHAR(34) &amp; ":" &amp; L358 &amp; ", " &amp; CHAR(34) &amp; M349 &amp; CHAR(34) &amp; ":" &amp; M358 &amp; ", " &amp; CHAR(34) &amp; N349 &amp; CHAR(34) &amp; ":" &amp; N358 &amp; ", " &amp; CHAR(34) &amp; O349 &amp; CHAR(34) &amp; ":" &amp; O358 &amp; ", " &amp; CHAR(34) &amp; P349 &amp; CHAR(34) &amp; ":" &amp; P358</f>
        <v>0</v>
      </c>
    </row>
    <row r="359" spans="1:17">
      <c r="A359">
        <f>10</f>
        <v>0</v>
      </c>
      <c r="B359">
        <f>MATCH(A359, M331:M344, 0)</f>
        <v>0</v>
      </c>
      <c r="C359">
        <f>INDEX(C331:C344, B359, 1)</f>
        <v>0</v>
      </c>
      <c r="D359">
        <f>INDEX(D331:D344, B359, 1)</f>
        <v>0</v>
      </c>
      <c r="E359">
        <f>INDEX(E331:E344, B359, 1)</f>
        <v>0</v>
      </c>
      <c r="F359">
        <f>INDEX(F331:F344, B359, 1)</f>
        <v>0</v>
      </c>
      <c r="G359">
        <f>INDEX(G331:G344, B359, 1)</f>
        <v>0</v>
      </c>
      <c r="H359">
        <f>INDEX(H331:H344, B359, 1)</f>
        <v>0</v>
      </c>
      <c r="I359">
        <f>INDEX(I331:I344, B359, 1)</f>
        <v>0</v>
      </c>
      <c r="J359">
        <f>VLOOKUP(C359,DATA_SUPPORT!$D$2:$E$51,2)</f>
        <v>0</v>
      </c>
      <c r="K359">
        <f>D359*DATA_SUPPORT!$G$5</f>
        <v>0</v>
      </c>
      <c r="L359">
        <f>E359*DATA_SUPPORT!$G$5</f>
        <v>0</v>
      </c>
      <c r="M359">
        <f>F359*DATA_SUPPORT!$G$5</f>
        <v>0</v>
      </c>
      <c r="N359">
        <f>G359*DATA_SUPPORT!$G$5</f>
        <v>0</v>
      </c>
      <c r="O359">
        <f>H359*DATA_SUPPORT!$G$5</f>
        <v>0</v>
      </c>
      <c r="P359">
        <f>I359*DATA_SUPPORT!$G$5</f>
        <v>0</v>
      </c>
      <c r="Q359">
        <f>CHAR(34) &amp; K349 &amp; CHAR(34) &amp; ":" &amp; K359 &amp; ", " &amp; CHAR(34) &amp; L349 &amp; CHAR(34) &amp; ":" &amp; L359 &amp; ", " &amp; CHAR(34) &amp; M349 &amp; CHAR(34) &amp; ":" &amp; M359 &amp; ", " &amp; CHAR(34) &amp; N349 &amp; CHAR(34) &amp; ":" &amp; N359 &amp; ", " &amp; CHAR(34) &amp; O349 &amp; CHAR(34) &amp; ":" &amp; O359 &amp; ", " &amp; CHAR(34) &amp; P349 &amp; CHAR(34) &amp; ":" &amp; P359</f>
        <v>0</v>
      </c>
    </row>
    <row r="360" spans="1:17">
      <c r="A360">
        <f>11</f>
        <v>0</v>
      </c>
      <c r="B360">
        <f>MATCH(A360, M331:M344, 0)</f>
        <v>0</v>
      </c>
      <c r="C360">
        <f>INDEX(C331:C344, B360, 1)</f>
        <v>0</v>
      </c>
      <c r="D360">
        <f>INDEX(D331:D344, B360, 1)</f>
        <v>0</v>
      </c>
      <c r="E360">
        <f>INDEX(E331:E344, B360, 1)</f>
        <v>0</v>
      </c>
      <c r="F360">
        <f>INDEX(F331:F344, B360, 1)</f>
        <v>0</v>
      </c>
      <c r="G360">
        <f>INDEX(G331:G344, B360, 1)</f>
        <v>0</v>
      </c>
      <c r="H360">
        <f>INDEX(H331:H344, B360, 1)</f>
        <v>0</v>
      </c>
      <c r="I360">
        <f>INDEX(I331:I344, B360, 1)</f>
        <v>0</v>
      </c>
      <c r="J360">
        <f>VLOOKUP(C360,DATA_SUPPORT!$D$2:$E$51,2)</f>
        <v>0</v>
      </c>
      <c r="K360">
        <f>D360*DATA_SUPPORT!$G$5</f>
        <v>0</v>
      </c>
      <c r="L360">
        <f>E360*DATA_SUPPORT!$G$5</f>
        <v>0</v>
      </c>
      <c r="M360">
        <f>F360*DATA_SUPPORT!$G$5</f>
        <v>0</v>
      </c>
      <c r="N360">
        <f>G360*DATA_SUPPORT!$G$5</f>
        <v>0</v>
      </c>
      <c r="O360">
        <f>H360*DATA_SUPPORT!$G$5</f>
        <v>0</v>
      </c>
      <c r="P360">
        <f>I360*DATA_SUPPORT!$G$5</f>
        <v>0</v>
      </c>
      <c r="Q360">
        <f>CHAR(34) &amp; K349 &amp; CHAR(34) &amp; ":" &amp; K360 &amp; ", " &amp; CHAR(34) &amp; L349 &amp; CHAR(34) &amp; ":" &amp; L360 &amp; ", " &amp; CHAR(34) &amp; M349 &amp; CHAR(34) &amp; ":" &amp; M360 &amp; ", " &amp; CHAR(34) &amp; N349 &amp; CHAR(34) &amp; ":" &amp; N360 &amp; ", " &amp; CHAR(34) &amp; O349 &amp; CHAR(34) &amp; ":" &amp; O360 &amp; ", " &amp; CHAR(34) &amp; P349 &amp; CHAR(34) &amp; ":" &amp; P360</f>
        <v>0</v>
      </c>
    </row>
    <row r="361" spans="1:17">
      <c r="A361">
        <f>12</f>
        <v>0</v>
      </c>
      <c r="B361">
        <f>MATCH(A361, M331:M344, 0)</f>
        <v>0</v>
      </c>
      <c r="C361">
        <f>INDEX(C331:C344, B361, 1)</f>
        <v>0</v>
      </c>
      <c r="D361">
        <f>INDEX(D331:D344, B361, 1)</f>
        <v>0</v>
      </c>
      <c r="E361">
        <f>INDEX(E331:E344, B361, 1)</f>
        <v>0</v>
      </c>
      <c r="F361">
        <f>INDEX(F331:F344, B361, 1)</f>
        <v>0</v>
      </c>
      <c r="G361">
        <f>INDEX(G331:G344, B361, 1)</f>
        <v>0</v>
      </c>
      <c r="H361">
        <f>INDEX(H331:H344, B361, 1)</f>
        <v>0</v>
      </c>
      <c r="I361">
        <f>INDEX(I331:I344, B361, 1)</f>
        <v>0</v>
      </c>
      <c r="J361">
        <f>VLOOKUP(C361,DATA_SUPPORT!$D$2:$E$51,2)</f>
        <v>0</v>
      </c>
      <c r="K361">
        <f>D361*DATA_SUPPORT!$G$5</f>
        <v>0</v>
      </c>
      <c r="L361">
        <f>E361*DATA_SUPPORT!$G$5</f>
        <v>0</v>
      </c>
      <c r="M361">
        <f>F361*DATA_SUPPORT!$G$5</f>
        <v>0</v>
      </c>
      <c r="N361">
        <f>G361*DATA_SUPPORT!$G$5</f>
        <v>0</v>
      </c>
      <c r="O361">
        <f>H361*DATA_SUPPORT!$G$5</f>
        <v>0</v>
      </c>
      <c r="P361">
        <f>I361*DATA_SUPPORT!$G$5</f>
        <v>0</v>
      </c>
      <c r="Q361">
        <f>CHAR(34) &amp; K349 &amp; CHAR(34) &amp; ":" &amp; K361 &amp; ", " &amp; CHAR(34) &amp; L349 &amp; CHAR(34) &amp; ":" &amp; L361 &amp; ", " &amp; CHAR(34) &amp; M349 &amp; CHAR(34) &amp; ":" &amp; M361 &amp; ", " &amp; CHAR(34) &amp; N349 &amp; CHAR(34) &amp; ":" &amp; N361 &amp; ", " &amp; CHAR(34) &amp; O349 &amp; CHAR(34) &amp; ":" &amp; O361 &amp; ", " &amp; CHAR(34) &amp; P349 &amp; CHAR(34) &amp; ":" &amp; P361</f>
        <v>0</v>
      </c>
    </row>
    <row r="362" spans="1:17">
      <c r="A362">
        <f>13</f>
        <v>0</v>
      </c>
      <c r="B362">
        <f>MATCH(A362, M331:M344, 0)</f>
        <v>0</v>
      </c>
      <c r="C362">
        <f>INDEX(C331:C344, B362, 1)</f>
        <v>0</v>
      </c>
      <c r="D362">
        <f>INDEX(D331:D344, B362, 1)</f>
        <v>0</v>
      </c>
      <c r="E362">
        <f>INDEX(E331:E344, B362, 1)</f>
        <v>0</v>
      </c>
      <c r="F362">
        <f>INDEX(F331:F344, B362, 1)</f>
        <v>0</v>
      </c>
      <c r="G362">
        <f>INDEX(G331:G344, B362, 1)</f>
        <v>0</v>
      </c>
      <c r="H362">
        <f>INDEX(H331:H344, B362, 1)</f>
        <v>0</v>
      </c>
      <c r="I362">
        <f>INDEX(I331:I344, B362, 1)</f>
        <v>0</v>
      </c>
      <c r="J362">
        <f>VLOOKUP(C362,DATA_SUPPORT!$D$2:$E$51,2)</f>
        <v>0</v>
      </c>
      <c r="K362">
        <f>D362*DATA_SUPPORT!$G$5</f>
        <v>0</v>
      </c>
      <c r="L362">
        <f>E362*DATA_SUPPORT!$G$5</f>
        <v>0</v>
      </c>
      <c r="M362">
        <f>F362*DATA_SUPPORT!$G$5</f>
        <v>0</v>
      </c>
      <c r="N362">
        <f>G362*DATA_SUPPORT!$G$5</f>
        <v>0</v>
      </c>
      <c r="O362">
        <f>H362*DATA_SUPPORT!$G$5</f>
        <v>0</v>
      </c>
      <c r="P362">
        <f>I362*DATA_SUPPORT!$G$5</f>
        <v>0</v>
      </c>
      <c r="Q362">
        <f>CHAR(34) &amp; K349 &amp; CHAR(34) &amp; ":" &amp; K362 &amp; ", " &amp; CHAR(34) &amp; L349 &amp; CHAR(34) &amp; ":" &amp; L362 &amp; ", " &amp; CHAR(34) &amp; M349 &amp; CHAR(34) &amp; ":" &amp; M362 &amp; ", " &amp; CHAR(34) &amp; N349 &amp; CHAR(34) &amp; ":" &amp; N362 &amp; ", " &amp; CHAR(34) &amp; O349 &amp; CHAR(34) &amp; ":" &amp; O362 &amp; ", " &amp; CHAR(34) &amp; P349 &amp; CHAR(34) &amp; ":" &amp; P362</f>
        <v>0</v>
      </c>
    </row>
    <row r="363" spans="1:17">
      <c r="A363">
        <f>14</f>
        <v>0</v>
      </c>
      <c r="B363">
        <f>MATCH(A363, M331:M344, 0)</f>
        <v>0</v>
      </c>
      <c r="C363">
        <f>INDEX(C331:C344, B363, 1)</f>
        <v>0</v>
      </c>
      <c r="D363">
        <f>INDEX(D331:D344, B363, 1)</f>
        <v>0</v>
      </c>
      <c r="E363">
        <f>INDEX(E331:E344, B363, 1)</f>
        <v>0</v>
      </c>
      <c r="F363">
        <f>INDEX(F331:F344, B363, 1)</f>
        <v>0</v>
      </c>
      <c r="G363">
        <f>INDEX(G331:G344, B363, 1)</f>
        <v>0</v>
      </c>
      <c r="H363">
        <f>INDEX(H331:H344, B363, 1)</f>
        <v>0</v>
      </c>
      <c r="I363">
        <f>INDEX(I331:I344, B363, 1)</f>
        <v>0</v>
      </c>
      <c r="J363">
        <f>VLOOKUP(C363,DATA_SUPPORT!$D$2:$E$51,2)</f>
        <v>0</v>
      </c>
      <c r="K363">
        <f>D363*DATA_SUPPORT!$G$5</f>
        <v>0</v>
      </c>
      <c r="L363">
        <f>E363*DATA_SUPPORT!$G$5</f>
        <v>0</v>
      </c>
      <c r="M363">
        <f>F363*DATA_SUPPORT!$G$5</f>
        <v>0</v>
      </c>
      <c r="N363">
        <f>G363*DATA_SUPPORT!$G$5</f>
        <v>0</v>
      </c>
      <c r="O363">
        <f>H363*DATA_SUPPORT!$G$5</f>
        <v>0</v>
      </c>
      <c r="P363">
        <f>I363*DATA_SUPPORT!$G$5</f>
        <v>0</v>
      </c>
      <c r="Q363">
        <f>CHAR(34) &amp; K349 &amp; CHAR(34) &amp; ":" &amp; K363 &amp; ", " &amp; CHAR(34) &amp; L349 &amp; CHAR(34) &amp; ":" &amp; L363 &amp; ", " &amp; CHAR(34) &amp; M349 &amp; CHAR(34) &amp; ":" &amp; M363 &amp; ", " &amp; CHAR(34) &amp; N349 &amp; CHAR(34) &amp; ":" &amp; N363 &amp; ", " &amp; CHAR(34) &amp; O349 &amp; CHAR(34) &amp; ":" &amp; O363 &amp; ", " &amp; CHAR(34) &amp; P349 &amp; CHAR(34) &amp; ":" &amp; P363</f>
        <v>0</v>
      </c>
    </row>
    <row r="366" spans="1:17">
      <c r="J366">
        <f>"{" &amp; char(34)&amp;J350&amp;char(34)&amp;": {"&amp;Q350&amp;"}" &amp;", "  &amp; char(34)&amp;J351&amp;char(34)&amp;": {"&amp;Q351&amp;"}" &amp;", "  &amp; char(34)&amp;J352&amp;char(34)&amp;": {"&amp;Q352&amp;"}" &amp;", "  &amp; char(34)&amp;J353&amp;char(34)&amp;": {"&amp;Q353&amp;"}" &amp;", "  &amp; char(34)&amp;J354&amp;char(34)&amp;": {"&amp;Q354&amp;"}" &amp;", "  &amp; char(34)&amp;J355&amp;char(34)&amp;": {"&amp;Q355&amp;"}" &amp;", "  &amp; char(34)&amp;J356&amp;char(34)&amp;": {"&amp;Q356&amp;"}" &amp;", "  &amp; char(34)&amp;J357&amp;char(34)&amp;": {"&amp;Q357&amp;"}" &amp;", "  &amp; char(34)&amp;J358&amp;char(34)&amp;": {"&amp;Q358&amp;"}" &amp;", "  &amp; char(34)&amp;J359&amp;char(34)&amp;": {"&amp;Q359&amp;"}" &amp;", "  &amp; char(34)&amp;J360&amp;char(34)&amp;": {"&amp;Q360&amp;"}" &amp;", "  &amp; char(34)&amp;J361&amp;char(34)&amp;": {"&amp;Q361&amp;"}" &amp;", "  &amp; char(34)&amp;J362&amp;char(34)&amp;": {"&amp;Q362&amp;"}" &amp;", "  &amp; char(34)&amp;J363&amp;char(34)&amp;": {"&amp;Q363&amp;"}"  &amp; "}"</f>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M8"/>
  <sheetViews>
    <sheetView showGridLines="0" workbookViewId="0"/>
  </sheetViews>
  <sheetFormatPr defaultRowHeight="15"/>
  <sheetData>
    <row r="1" spans="1:13">
      <c r="A1" s="2" t="s">
        <v>745</v>
      </c>
      <c r="B1" s="2"/>
      <c r="C1" s="2"/>
      <c r="D1" s="2"/>
      <c r="E1" s="2"/>
      <c r="F1" s="2"/>
      <c r="G1" s="2"/>
      <c r="H1" s="2"/>
      <c r="I1" s="2"/>
      <c r="J1" s="2"/>
      <c r="K1" s="2"/>
      <c r="L1" s="2"/>
      <c r="M1" s="2"/>
    </row>
    <row r="2" spans="1:13">
      <c r="A2" s="15" t="s">
        <v>39</v>
      </c>
      <c r="B2" s="16" t="s">
        <v>40</v>
      </c>
      <c r="C2" s="16"/>
      <c r="D2" s="16"/>
      <c r="E2" s="16" t="s">
        <v>41</v>
      </c>
      <c r="F2" s="16"/>
      <c r="G2" s="16"/>
      <c r="H2" s="16" t="s">
        <v>42</v>
      </c>
      <c r="I2" s="16"/>
      <c r="J2" s="16"/>
    </row>
    <row r="3" spans="1:13">
      <c r="A3" s="17"/>
      <c r="B3" s="17" t="s">
        <v>43</v>
      </c>
      <c r="C3" s="17"/>
      <c r="D3" s="17"/>
      <c r="E3" s="17" t="s">
        <v>46</v>
      </c>
      <c r="F3" s="17"/>
      <c r="G3" s="17"/>
      <c r="H3" s="17" t="s">
        <v>52</v>
      </c>
      <c r="I3" s="17"/>
      <c r="J3" s="17"/>
    </row>
    <row r="4" spans="1:13">
      <c r="A4" s="18"/>
      <c r="B4" s="18" t="s">
        <v>44</v>
      </c>
      <c r="C4" s="18"/>
      <c r="D4" s="18"/>
      <c r="E4" s="18" t="s">
        <v>47</v>
      </c>
      <c r="F4" s="18"/>
      <c r="G4" s="18"/>
      <c r="H4" s="18" t="s">
        <v>53</v>
      </c>
      <c r="I4" s="18"/>
      <c r="J4" s="18"/>
    </row>
    <row r="5" spans="1:13">
      <c r="A5" s="18"/>
      <c r="B5" s="18" t="s">
        <v>2</v>
      </c>
      <c r="C5" s="18"/>
      <c r="D5" s="18"/>
      <c r="E5" s="18" t="s">
        <v>48</v>
      </c>
      <c r="F5" s="18"/>
      <c r="G5" s="18"/>
      <c r="H5" s="18" t="s">
        <v>54</v>
      </c>
      <c r="I5" s="18"/>
      <c r="J5" s="18"/>
    </row>
    <row r="6" spans="1:13">
      <c r="A6" s="18"/>
      <c r="B6" s="18" t="s">
        <v>45</v>
      </c>
      <c r="C6" s="18"/>
      <c r="D6" s="18"/>
      <c r="E6" s="18" t="s">
        <v>49</v>
      </c>
      <c r="F6" s="18"/>
      <c r="G6" s="18"/>
      <c r="H6" s="18" t="s">
        <v>51</v>
      </c>
      <c r="I6" s="18"/>
      <c r="J6" s="18"/>
    </row>
    <row r="7" spans="1:13">
      <c r="A7" s="18"/>
      <c r="B7" s="18"/>
      <c r="C7" s="18"/>
      <c r="D7" s="18"/>
      <c r="E7" s="18" t="s">
        <v>50</v>
      </c>
      <c r="F7" s="18"/>
      <c r="G7" s="18"/>
      <c r="H7" s="18"/>
      <c r="I7" s="18"/>
      <c r="J7" s="18"/>
    </row>
    <row r="8" spans="1:13">
      <c r="A8" s="19"/>
      <c r="B8" s="19"/>
      <c r="C8" s="19"/>
      <c r="D8" s="19"/>
      <c r="E8" s="19" t="s">
        <v>51</v>
      </c>
      <c r="F8" s="19"/>
      <c r="G8" s="19"/>
      <c r="H8" s="19"/>
      <c r="I8" s="19"/>
      <c r="J8" s="19"/>
    </row>
  </sheetData>
  <sheetProtection password="E4E4" sheet="1" objects="1" scenarios="1"/>
  <mergeCells count="22">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 ref="A1:M1"/>
  </mergeCell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A1:M8"/>
  <sheetViews>
    <sheetView showGridLines="0" workbookViewId="0"/>
  </sheetViews>
  <sheetFormatPr defaultRowHeight="15"/>
  <sheetData>
    <row r="1" spans="1:13">
      <c r="A1" s="2" t="s">
        <v>746</v>
      </c>
      <c r="B1" s="2"/>
      <c r="C1" s="2"/>
      <c r="D1" s="2"/>
      <c r="E1" s="2"/>
      <c r="F1" s="2"/>
      <c r="G1" s="2"/>
      <c r="H1" s="2"/>
      <c r="I1" s="2"/>
      <c r="J1" s="2"/>
      <c r="K1" s="2"/>
      <c r="L1" s="2"/>
      <c r="M1" s="2"/>
    </row>
    <row r="2" spans="1:13">
      <c r="A2" s="15" t="s">
        <v>39</v>
      </c>
      <c r="B2" s="16" t="s">
        <v>40</v>
      </c>
      <c r="C2" s="16"/>
      <c r="D2" s="16"/>
      <c r="E2" s="16" t="s">
        <v>41</v>
      </c>
      <c r="F2" s="16"/>
      <c r="G2" s="16"/>
      <c r="H2" s="16" t="s">
        <v>42</v>
      </c>
      <c r="I2" s="16"/>
      <c r="J2" s="16"/>
    </row>
    <row r="3" spans="1:13">
      <c r="A3" s="17"/>
      <c r="B3" s="17" t="s">
        <v>43</v>
      </c>
      <c r="C3" s="17"/>
      <c r="D3" s="17"/>
      <c r="E3" s="17" t="s">
        <v>46</v>
      </c>
      <c r="F3" s="17"/>
      <c r="G3" s="17"/>
      <c r="H3" s="17" t="s">
        <v>52</v>
      </c>
      <c r="I3" s="17"/>
      <c r="J3" s="17"/>
    </row>
    <row r="4" spans="1:13">
      <c r="A4" s="18"/>
      <c r="B4" s="18" t="s">
        <v>44</v>
      </c>
      <c r="C4" s="18"/>
      <c r="D4" s="18"/>
      <c r="E4" s="18" t="s">
        <v>47</v>
      </c>
      <c r="F4" s="18"/>
      <c r="G4" s="18"/>
      <c r="H4" s="18" t="s">
        <v>53</v>
      </c>
      <c r="I4" s="18"/>
      <c r="J4" s="18"/>
    </row>
    <row r="5" spans="1:13">
      <c r="A5" s="18"/>
      <c r="B5" s="18" t="s">
        <v>2</v>
      </c>
      <c r="C5" s="18"/>
      <c r="D5" s="18"/>
      <c r="E5" s="18" t="s">
        <v>48</v>
      </c>
      <c r="F5" s="18"/>
      <c r="G5" s="18"/>
      <c r="H5" s="18" t="s">
        <v>54</v>
      </c>
      <c r="I5" s="18"/>
      <c r="J5" s="18"/>
    </row>
    <row r="6" spans="1:13">
      <c r="A6" s="18"/>
      <c r="B6" s="18" t="s">
        <v>45</v>
      </c>
      <c r="C6" s="18"/>
      <c r="D6" s="18"/>
      <c r="E6" s="18" t="s">
        <v>49</v>
      </c>
      <c r="F6" s="18"/>
      <c r="G6" s="18"/>
      <c r="H6" s="18" t="s">
        <v>51</v>
      </c>
      <c r="I6" s="18"/>
      <c r="J6" s="18"/>
    </row>
    <row r="7" spans="1:13">
      <c r="A7" s="18"/>
      <c r="B7" s="18"/>
      <c r="C7" s="18"/>
      <c r="D7" s="18"/>
      <c r="E7" s="18" t="s">
        <v>50</v>
      </c>
      <c r="F7" s="18"/>
      <c r="G7" s="18"/>
      <c r="H7" s="18"/>
      <c r="I7" s="18"/>
      <c r="J7" s="18"/>
    </row>
    <row r="8" spans="1:13">
      <c r="A8" s="19"/>
      <c r="B8" s="19"/>
      <c r="C8" s="19"/>
      <c r="D8" s="19"/>
      <c r="E8" s="19" t="s">
        <v>51</v>
      </c>
      <c r="F8" s="19"/>
      <c r="G8" s="19"/>
      <c r="H8" s="19"/>
      <c r="I8" s="19"/>
      <c r="J8" s="19"/>
    </row>
  </sheetData>
  <sheetProtection password="E4E4" sheet="1" objects="1" scenarios="1"/>
  <mergeCells count="22">
    <mergeCell ref="A1:M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M8"/>
  <sheetViews>
    <sheetView showGridLines="0" workbookViewId="0"/>
  </sheetViews>
  <sheetFormatPr defaultRowHeight="15"/>
  <sheetData>
    <row r="1" spans="1:13">
      <c r="A1" s="2" t="s">
        <v>748</v>
      </c>
      <c r="B1" s="2"/>
      <c r="C1" s="2"/>
      <c r="D1" s="2"/>
      <c r="E1" s="2"/>
      <c r="F1" s="2"/>
      <c r="G1" s="2"/>
      <c r="H1" s="2"/>
      <c r="I1" s="2"/>
      <c r="J1" s="2"/>
      <c r="K1" s="2"/>
      <c r="L1" s="2"/>
      <c r="M1" s="2"/>
    </row>
    <row r="2" spans="1:13">
      <c r="A2" s="15" t="s">
        <v>39</v>
      </c>
      <c r="B2" s="16" t="s">
        <v>40</v>
      </c>
      <c r="C2" s="16"/>
      <c r="D2" s="16"/>
      <c r="E2" s="16" t="s">
        <v>41</v>
      </c>
      <c r="F2" s="16"/>
      <c r="G2" s="16"/>
      <c r="H2" s="16" t="s">
        <v>42</v>
      </c>
      <c r="I2" s="16"/>
      <c r="J2" s="16"/>
    </row>
    <row r="3" spans="1:13">
      <c r="A3" s="17"/>
      <c r="B3" s="17" t="s">
        <v>43</v>
      </c>
      <c r="C3" s="17"/>
      <c r="D3" s="17"/>
      <c r="E3" s="17" t="s">
        <v>46</v>
      </c>
      <c r="F3" s="17"/>
      <c r="G3" s="17"/>
      <c r="H3" s="17" t="s">
        <v>52</v>
      </c>
      <c r="I3" s="17"/>
      <c r="J3" s="17"/>
    </row>
    <row r="4" spans="1:13">
      <c r="A4" s="18"/>
      <c r="B4" s="18" t="s">
        <v>44</v>
      </c>
      <c r="C4" s="18"/>
      <c r="D4" s="18"/>
      <c r="E4" s="18" t="s">
        <v>47</v>
      </c>
      <c r="F4" s="18"/>
      <c r="G4" s="18"/>
      <c r="H4" s="18" t="s">
        <v>53</v>
      </c>
      <c r="I4" s="18"/>
      <c r="J4" s="18"/>
    </row>
    <row r="5" spans="1:13">
      <c r="A5" s="18"/>
      <c r="B5" s="18" t="s">
        <v>2</v>
      </c>
      <c r="C5" s="18"/>
      <c r="D5" s="18"/>
      <c r="E5" s="18" t="s">
        <v>48</v>
      </c>
      <c r="F5" s="18"/>
      <c r="G5" s="18"/>
      <c r="H5" s="18" t="s">
        <v>54</v>
      </c>
      <c r="I5" s="18"/>
      <c r="J5" s="18"/>
    </row>
    <row r="6" spans="1:13">
      <c r="A6" s="18"/>
      <c r="B6" s="18" t="s">
        <v>45</v>
      </c>
      <c r="C6" s="18"/>
      <c r="D6" s="18"/>
      <c r="E6" s="18" t="s">
        <v>49</v>
      </c>
      <c r="F6" s="18"/>
      <c r="G6" s="18"/>
      <c r="H6" s="18" t="s">
        <v>51</v>
      </c>
      <c r="I6" s="18"/>
      <c r="J6" s="18"/>
    </row>
    <row r="7" spans="1:13">
      <c r="A7" s="18"/>
      <c r="B7" s="18"/>
      <c r="C7" s="18"/>
      <c r="D7" s="18"/>
      <c r="E7" s="18" t="s">
        <v>50</v>
      </c>
      <c r="F7" s="18"/>
      <c r="G7" s="18"/>
      <c r="H7" s="18"/>
      <c r="I7" s="18"/>
      <c r="J7" s="18"/>
    </row>
    <row r="8" spans="1:13">
      <c r="A8" s="19"/>
      <c r="B8" s="19"/>
      <c r="C8" s="19"/>
      <c r="D8" s="19"/>
      <c r="E8" s="19" t="s">
        <v>51</v>
      </c>
      <c r="F8" s="19"/>
      <c r="G8" s="19"/>
      <c r="H8" s="19"/>
      <c r="I8" s="19"/>
      <c r="J8" s="19"/>
    </row>
  </sheetData>
  <sheetProtection password="E4E4" sheet="1" objects="1" scenarios="1"/>
  <mergeCells count="22">
    <mergeCell ref="A1:M1"/>
    <mergeCell ref="B2:D2"/>
    <mergeCell ref="E2:G2"/>
    <mergeCell ref="H2:J2"/>
    <mergeCell ref="B3:D3"/>
    <mergeCell ref="B4:D4"/>
    <mergeCell ref="B5:D5"/>
    <mergeCell ref="B6:D6"/>
    <mergeCell ref="B7:D7"/>
    <mergeCell ref="B8:D8"/>
    <mergeCell ref="E3:G3"/>
    <mergeCell ref="E4:G4"/>
    <mergeCell ref="E5:G5"/>
    <mergeCell ref="E6:G6"/>
    <mergeCell ref="E7:G7"/>
    <mergeCell ref="E8:G8"/>
    <mergeCell ref="H3:J3"/>
    <mergeCell ref="H4:J4"/>
    <mergeCell ref="H5:J5"/>
    <mergeCell ref="H6:J6"/>
    <mergeCell ref="H7:J7"/>
    <mergeCell ref="H8:J8"/>
  </mergeCells>
  <hyperlinks>
    <hyperlink ref="A2" location="HOME!A1" display="HOME"/>
    <hyperlink ref="B3" location="'DASHBOARD- PRACTICES'!A1" display="Practice Answers"/>
    <hyperlink ref="E3" location="'practices&gt;Yes'!F1" display="Yes"/>
    <hyperlink ref="H3" location="'Docs&gt;Completed'!F1" display="Completed"/>
    <hyperlink ref="B4" location="'DASHBOARD- OBJECTIVE EVIDENCE'!A1" display="Objective Evidence"/>
    <hyperlink ref="E4" location="'practices&gt;It Does Not Apply'!F1" display="It Does Not Apply"/>
    <hyperlink ref="H4" location="'Docs&gt;Partially Completed'!F1" display="Partially Completed"/>
    <hyperlink ref="B5" location="'DASHBOARD- DOCUMENTATION'!A1" display="Documentation Answers"/>
    <hyperlink ref="E5" location="'practices&gt;Partially'!F1" display="Partially"/>
    <hyperlink ref="H5" location="'Docs&gt;Not Yet Started'!F1" display="Not Yet Started"/>
    <hyperlink ref="B6" location="'CDN-FACILITATED_PRACTICES'!A1" display="CDN-Facilitated Practices"/>
    <hyperlink ref="E6" location="'practices&gt;I Have Done An Altern'!F1" display="I Have Done An Alternative Approach"/>
    <hyperlink ref="H6" location="'Docs&gt;No Answer'!F1" display="No Answer"/>
    <hyperlink ref="E7" location="'practices&gt;No'!F1" display="No"/>
    <hyperlink ref="E8" location="'practices&gt;No Answer'!F1" display="No Answ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A1:V53"/>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754</v>
      </c>
    </row>
    <row r="2" spans="1:22">
      <c r="F2" s="15" t="s">
        <v>39</v>
      </c>
      <c r="G2" s="16" t="s">
        <v>40</v>
      </c>
      <c r="H2" s="16"/>
      <c r="I2" s="16"/>
      <c r="J2" s="16" t="s">
        <v>41</v>
      </c>
      <c r="K2" s="16"/>
      <c r="L2" s="16"/>
      <c r="M2" s="16" t="s">
        <v>42</v>
      </c>
      <c r="N2" s="16"/>
      <c r="O2" s="16"/>
      <c r="U2" t="s">
        <v>755</v>
      </c>
      <c r="V2">
        <f>CountIf(data_summary_by_question!AE2:AE43,$V$1)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757</v>
      </c>
      <c r="G10" s="20"/>
      <c r="H10" s="20"/>
      <c r="I10" s="20"/>
      <c r="J10" s="20"/>
      <c r="K10" s="20"/>
      <c r="L10" s="20"/>
      <c r="M10" s="20"/>
      <c r="N10" s="20"/>
      <c r="O10" s="20"/>
      <c r="P10" s="20"/>
    </row>
    <row r="11" spans="1:22" ht="48" customHeight="1">
      <c r="A11" cm="1">
        <f t="array" ref="A11:D53">_xlfn._xlws.FILTER(data_summary_by_question!AB2:AE43,data_summary_by_question!AE2:AE43=$V$1)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c r="A53">
        <v>0</v>
      </c>
      <c r="B53">
        <v>0</v>
      </c>
      <c r="C53">
        <v>0</v>
      </c>
      <c r="D53">
        <v>0</v>
      </c>
    </row>
  </sheetData>
  <sheetProtection password="E4E4" sheet="1" objects="1" scenarios="1"/>
  <mergeCells count="65">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V53"/>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758</v>
      </c>
    </row>
    <row r="2" spans="1:22">
      <c r="F2" s="15" t="s">
        <v>39</v>
      </c>
      <c r="G2" s="16" t="s">
        <v>40</v>
      </c>
      <c r="H2" s="16"/>
      <c r="I2" s="16"/>
      <c r="J2" s="16" t="s">
        <v>41</v>
      </c>
      <c r="K2" s="16"/>
      <c r="L2" s="16"/>
      <c r="M2" s="16" t="s">
        <v>42</v>
      </c>
      <c r="N2" s="16"/>
      <c r="O2" s="16"/>
      <c r="U2" t="s">
        <v>755</v>
      </c>
      <c r="V2">
        <f>CountIf(data_summary_by_question!AE2:AE43,$V$1)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759</v>
      </c>
      <c r="G10" s="20"/>
      <c r="H10" s="20"/>
      <c r="I10" s="20"/>
      <c r="J10" s="20"/>
      <c r="K10" s="20"/>
      <c r="L10" s="20"/>
      <c r="M10" s="20"/>
      <c r="N10" s="20"/>
      <c r="O10" s="20"/>
      <c r="P10" s="20"/>
    </row>
    <row r="11" spans="1:22" ht="48" customHeight="1">
      <c r="A11" cm="1">
        <f t="array" ref="A11:D53">_xlfn._xlws.FILTER(data_summary_by_question!AB2:AE43,data_summary_by_question!AE2:AE43=$V$1)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c r="A53">
        <v>0</v>
      </c>
      <c r="B53">
        <v>0</v>
      </c>
      <c r="C53">
        <v>0</v>
      </c>
      <c r="D53">
        <v>0</v>
      </c>
    </row>
  </sheetData>
  <sheetProtection password="E4E4" sheet="1" objects="1" scenarios="1"/>
  <mergeCells count="65">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V53"/>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760</v>
      </c>
    </row>
    <row r="2" spans="1:22">
      <c r="F2" s="15" t="s">
        <v>39</v>
      </c>
      <c r="G2" s="16" t="s">
        <v>40</v>
      </c>
      <c r="H2" s="16"/>
      <c r="I2" s="16"/>
      <c r="J2" s="16" t="s">
        <v>41</v>
      </c>
      <c r="K2" s="16"/>
      <c r="L2" s="16"/>
      <c r="M2" s="16" t="s">
        <v>42</v>
      </c>
      <c r="N2" s="16"/>
      <c r="O2" s="16"/>
      <c r="U2" t="s">
        <v>755</v>
      </c>
      <c r="V2">
        <f>CountIf(data_summary_by_question!AE2:AE43,$V$1)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761</v>
      </c>
      <c r="G10" s="20"/>
      <c r="H10" s="20"/>
      <c r="I10" s="20"/>
      <c r="J10" s="20"/>
      <c r="K10" s="20"/>
      <c r="L10" s="20"/>
      <c r="M10" s="20"/>
      <c r="N10" s="20"/>
      <c r="O10" s="20"/>
      <c r="P10" s="20"/>
    </row>
    <row r="11" spans="1:22" ht="48" customHeight="1">
      <c r="A11" cm="1">
        <f t="array" ref="A11:D53">_xlfn._xlws.FILTER(data_summary_by_question!AB2:AE43,data_summary_by_question!AE2:AE43=$V$1)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c r="A53">
        <v>0</v>
      </c>
      <c r="B53">
        <v>0</v>
      </c>
      <c r="C53">
        <v>0</v>
      </c>
      <c r="D53">
        <v>0</v>
      </c>
    </row>
  </sheetData>
  <sheetProtection password="E4E4" sheet="1" objects="1" scenarios="1"/>
  <mergeCells count="65">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V53"/>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762</v>
      </c>
    </row>
    <row r="2" spans="1:22">
      <c r="F2" s="15" t="s">
        <v>39</v>
      </c>
      <c r="G2" s="16" t="s">
        <v>40</v>
      </c>
      <c r="H2" s="16"/>
      <c r="I2" s="16"/>
      <c r="J2" s="16" t="s">
        <v>41</v>
      </c>
      <c r="K2" s="16"/>
      <c r="L2" s="16"/>
      <c r="M2" s="16" t="s">
        <v>42</v>
      </c>
      <c r="N2" s="16"/>
      <c r="O2" s="16"/>
      <c r="U2" t="s">
        <v>755</v>
      </c>
      <c r="V2">
        <f>CountIf(data_summary_by_question!AE2:AE43,$V$1)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763</v>
      </c>
      <c r="G10" s="20"/>
      <c r="H10" s="20"/>
      <c r="I10" s="20"/>
      <c r="J10" s="20"/>
      <c r="K10" s="20"/>
      <c r="L10" s="20"/>
      <c r="M10" s="20"/>
      <c r="N10" s="20"/>
      <c r="O10" s="20"/>
      <c r="P10" s="20"/>
    </row>
    <row r="11" spans="1:22" ht="48" customHeight="1">
      <c r="A11" cm="1">
        <f t="array" ref="A11:D53">_xlfn._xlws.FILTER(data_summary_by_question!AB2:AE43,data_summary_by_question!AE2:AE43=$V$1)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c r="A53">
        <v>0</v>
      </c>
      <c r="B53">
        <v>0</v>
      </c>
      <c r="C53">
        <v>0</v>
      </c>
      <c r="D53">
        <v>0</v>
      </c>
    </row>
  </sheetData>
  <sheetProtection password="E4E4" sheet="1" objects="1" scenarios="1"/>
  <mergeCells count="65">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V331"/>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764</v>
      </c>
    </row>
    <row r="2" spans="1:22">
      <c r="F2" s="15" t="s">
        <v>39</v>
      </c>
      <c r="G2" s="16" t="s">
        <v>40</v>
      </c>
      <c r="H2" s="16"/>
      <c r="I2" s="16"/>
      <c r="J2" s="16" t="s">
        <v>41</v>
      </c>
      <c r="K2" s="16"/>
      <c r="L2" s="16"/>
      <c r="M2" s="16" t="s">
        <v>42</v>
      </c>
      <c r="N2" s="16"/>
      <c r="O2" s="16"/>
      <c r="U2" t="s">
        <v>755</v>
      </c>
      <c r="V2">
        <f>CountIf(data_summary_by_question!D2:D321,$V$1)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765</v>
      </c>
      <c r="G10" s="20"/>
      <c r="H10" s="20"/>
      <c r="I10" s="20"/>
      <c r="J10" s="20"/>
      <c r="K10" s="20"/>
      <c r="L10" s="20"/>
      <c r="M10" s="20"/>
      <c r="N10" s="20"/>
      <c r="O10" s="20"/>
      <c r="P10" s="20"/>
    </row>
    <row r="11" spans="1:22" ht="48" customHeight="1">
      <c r="A11" cm="1">
        <f t="array" ref="A11:D331">_xlfn._xlws.FILTER(data_summary_by_question!A2:D321,data_summary_by_question!D2:D321=$V$1)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ht="48" customHeight="1">
      <c r="A53">
        <v>0</v>
      </c>
      <c r="B53">
        <v>0</v>
      </c>
      <c r="C53">
        <v>0</v>
      </c>
      <c r="D53">
        <v>0</v>
      </c>
      <c r="F53" s="27">
        <f>IF(U6,IF(V2&lt;=1,"", IF(ISNA(C53),"",A53&amp; " - " &amp; C53)),"")</f>
        <v>0</v>
      </c>
      <c r="G53" s="27"/>
      <c r="H53" s="27"/>
      <c r="I53" s="27"/>
      <c r="J53" s="27"/>
      <c r="K53" s="27"/>
      <c r="L53" s="27"/>
      <c r="M53" s="27"/>
      <c r="N53" s="27"/>
      <c r="O53" s="27"/>
      <c r="P53" s="27"/>
    </row>
    <row r="54" spans="1:16" ht="48" customHeight="1">
      <c r="A54">
        <v>0</v>
      </c>
      <c r="B54">
        <v>0</v>
      </c>
      <c r="C54">
        <v>0</v>
      </c>
      <c r="D54">
        <v>0</v>
      </c>
      <c r="F54" s="27">
        <f>IF(U6,IF(V2&lt;=1,"", IF(ISNA(C54),"",A54&amp; " - " &amp; C54)),"")</f>
        <v>0</v>
      </c>
      <c r="G54" s="27"/>
      <c r="H54" s="27"/>
      <c r="I54" s="27"/>
      <c r="J54" s="27"/>
      <c r="K54" s="27"/>
      <c r="L54" s="27"/>
      <c r="M54" s="27"/>
      <c r="N54" s="27"/>
      <c r="O54" s="27"/>
      <c r="P54" s="27"/>
    </row>
    <row r="55" spans="1:16" ht="48" customHeight="1">
      <c r="A55">
        <v>0</v>
      </c>
      <c r="B55">
        <v>0</v>
      </c>
      <c r="C55">
        <v>0</v>
      </c>
      <c r="D55">
        <v>0</v>
      </c>
      <c r="F55" s="27">
        <f>IF(U6,IF(V2&lt;=1,"", IF(ISNA(C55),"",A55&amp; " - " &amp; C55)),"")</f>
        <v>0</v>
      </c>
      <c r="G55" s="27"/>
      <c r="H55" s="27"/>
      <c r="I55" s="27"/>
      <c r="J55" s="27"/>
      <c r="K55" s="27"/>
      <c r="L55" s="27"/>
      <c r="M55" s="27"/>
      <c r="N55" s="27"/>
      <c r="O55" s="27"/>
      <c r="P55" s="27"/>
    </row>
    <row r="56" spans="1:16" ht="48" customHeight="1">
      <c r="A56">
        <v>0</v>
      </c>
      <c r="B56">
        <v>0</v>
      </c>
      <c r="C56">
        <v>0</v>
      </c>
      <c r="D56">
        <v>0</v>
      </c>
      <c r="F56" s="27">
        <f>IF(U6,IF(V2&lt;=1,"", IF(ISNA(C56),"",A56&amp; " - " &amp; C56)),"")</f>
        <v>0</v>
      </c>
      <c r="G56" s="27"/>
      <c r="H56" s="27"/>
      <c r="I56" s="27"/>
      <c r="J56" s="27"/>
      <c r="K56" s="27"/>
      <c r="L56" s="27"/>
      <c r="M56" s="27"/>
      <c r="N56" s="27"/>
      <c r="O56" s="27"/>
      <c r="P56" s="27"/>
    </row>
    <row r="57" spans="1:16" ht="48" customHeight="1">
      <c r="A57">
        <v>0</v>
      </c>
      <c r="B57">
        <v>0</v>
      </c>
      <c r="C57">
        <v>0</v>
      </c>
      <c r="D57">
        <v>0</v>
      </c>
      <c r="F57" s="27">
        <f>IF(U6,IF(V2&lt;=1,"", IF(ISNA(C57),"",A57&amp; " - " &amp; C57)),"")</f>
        <v>0</v>
      </c>
      <c r="G57" s="27"/>
      <c r="H57" s="27"/>
      <c r="I57" s="27"/>
      <c r="J57" s="27"/>
      <c r="K57" s="27"/>
      <c r="L57" s="27"/>
      <c r="M57" s="27"/>
      <c r="N57" s="27"/>
      <c r="O57" s="27"/>
      <c r="P57" s="27"/>
    </row>
    <row r="58" spans="1:16" ht="48" customHeight="1">
      <c r="A58">
        <v>0</v>
      </c>
      <c r="B58">
        <v>0</v>
      </c>
      <c r="C58">
        <v>0</v>
      </c>
      <c r="D58">
        <v>0</v>
      </c>
      <c r="F58" s="27">
        <f>IF(U6,IF(V2&lt;=1,"", IF(ISNA(C58),"",A58&amp; " - " &amp; C58)),"")</f>
        <v>0</v>
      </c>
      <c r="G58" s="27"/>
      <c r="H58" s="27"/>
      <c r="I58" s="27"/>
      <c r="J58" s="27"/>
      <c r="K58" s="27"/>
      <c r="L58" s="27"/>
      <c r="M58" s="27"/>
      <c r="N58" s="27"/>
      <c r="O58" s="27"/>
      <c r="P58" s="27"/>
    </row>
    <row r="59" spans="1:16" ht="48" customHeight="1">
      <c r="A59">
        <v>0</v>
      </c>
      <c r="B59">
        <v>0</v>
      </c>
      <c r="C59">
        <v>0</v>
      </c>
      <c r="D59">
        <v>0</v>
      </c>
      <c r="F59" s="27">
        <f>IF(U6,IF(V2&lt;=1,"", IF(ISNA(C59),"",A59&amp; " - " &amp; C59)),"")</f>
        <v>0</v>
      </c>
      <c r="G59" s="27"/>
      <c r="H59" s="27"/>
      <c r="I59" s="27"/>
      <c r="J59" s="27"/>
      <c r="K59" s="27"/>
      <c r="L59" s="27"/>
      <c r="M59" s="27"/>
      <c r="N59" s="27"/>
      <c r="O59" s="27"/>
      <c r="P59" s="27"/>
    </row>
    <row r="60" spans="1:16" ht="48" customHeight="1">
      <c r="A60">
        <v>0</v>
      </c>
      <c r="B60">
        <v>0</v>
      </c>
      <c r="C60">
        <v>0</v>
      </c>
      <c r="D60">
        <v>0</v>
      </c>
      <c r="F60" s="27">
        <f>IF(U6,IF(V2&lt;=1,"", IF(ISNA(C60),"",A60&amp; " - " &amp; C60)),"")</f>
        <v>0</v>
      </c>
      <c r="G60" s="27"/>
      <c r="H60" s="27"/>
      <c r="I60" s="27"/>
      <c r="J60" s="27"/>
      <c r="K60" s="27"/>
      <c r="L60" s="27"/>
      <c r="M60" s="27"/>
      <c r="N60" s="27"/>
      <c r="O60" s="27"/>
      <c r="P60" s="27"/>
    </row>
    <row r="61" spans="1:16" ht="48" customHeight="1">
      <c r="A61">
        <v>0</v>
      </c>
      <c r="B61">
        <v>0</v>
      </c>
      <c r="C61">
        <v>0</v>
      </c>
      <c r="D61">
        <v>0</v>
      </c>
      <c r="F61" s="27">
        <f>IF(U6,IF(V2&lt;=1,"", IF(ISNA(C61),"",A61&amp; " - " &amp; C61)),"")</f>
        <v>0</v>
      </c>
      <c r="G61" s="27"/>
      <c r="H61" s="27"/>
      <c r="I61" s="27"/>
      <c r="J61" s="27"/>
      <c r="K61" s="27"/>
      <c r="L61" s="27"/>
      <c r="M61" s="27"/>
      <c r="N61" s="27"/>
      <c r="O61" s="27"/>
      <c r="P61" s="27"/>
    </row>
    <row r="62" spans="1:16" ht="48" customHeight="1">
      <c r="A62">
        <v>0</v>
      </c>
      <c r="B62">
        <v>0</v>
      </c>
      <c r="C62">
        <v>0</v>
      </c>
      <c r="D62">
        <v>0</v>
      </c>
      <c r="F62" s="27">
        <f>IF(U6,IF(V2&lt;=1,"", IF(ISNA(C62),"",A62&amp; " - " &amp; C62)),"")</f>
        <v>0</v>
      </c>
      <c r="G62" s="27"/>
      <c r="H62" s="27"/>
      <c r="I62" s="27"/>
      <c r="J62" s="27"/>
      <c r="K62" s="27"/>
      <c r="L62" s="27"/>
      <c r="M62" s="27"/>
      <c r="N62" s="27"/>
      <c r="O62" s="27"/>
      <c r="P62" s="27"/>
    </row>
    <row r="63" spans="1:16" ht="48" customHeight="1">
      <c r="A63">
        <v>0</v>
      </c>
      <c r="B63">
        <v>0</v>
      </c>
      <c r="C63">
        <v>0</v>
      </c>
      <c r="D63">
        <v>0</v>
      </c>
      <c r="F63" s="27">
        <f>IF(U6,IF(V2&lt;=1,"", IF(ISNA(C63),"",A63&amp; " - " &amp; C63)),"")</f>
        <v>0</v>
      </c>
      <c r="G63" s="27"/>
      <c r="H63" s="27"/>
      <c r="I63" s="27"/>
      <c r="J63" s="27"/>
      <c r="K63" s="27"/>
      <c r="L63" s="27"/>
      <c r="M63" s="27"/>
      <c r="N63" s="27"/>
      <c r="O63" s="27"/>
      <c r="P63" s="27"/>
    </row>
    <row r="64" spans="1:16" ht="48" customHeight="1">
      <c r="A64">
        <v>0</v>
      </c>
      <c r="B64">
        <v>0</v>
      </c>
      <c r="C64">
        <v>0</v>
      </c>
      <c r="D64">
        <v>0</v>
      </c>
      <c r="F64" s="27">
        <f>IF(U6,IF(V2&lt;=1,"", IF(ISNA(C64),"",A64&amp; " - " &amp; C64)),"")</f>
        <v>0</v>
      </c>
      <c r="G64" s="27"/>
      <c r="H64" s="27"/>
      <c r="I64" s="27"/>
      <c r="J64" s="27"/>
      <c r="K64" s="27"/>
      <c r="L64" s="27"/>
      <c r="M64" s="27"/>
      <c r="N64" s="27"/>
      <c r="O64" s="27"/>
      <c r="P64" s="27"/>
    </row>
    <row r="65" spans="1:16" ht="48" customHeight="1">
      <c r="A65">
        <v>0</v>
      </c>
      <c r="B65">
        <v>0</v>
      </c>
      <c r="C65">
        <v>0</v>
      </c>
      <c r="D65">
        <v>0</v>
      </c>
      <c r="F65" s="27">
        <f>IF(U6,IF(V2&lt;=1,"", IF(ISNA(C65),"",A65&amp; " - " &amp; C65)),"")</f>
        <v>0</v>
      </c>
      <c r="G65" s="27"/>
      <c r="H65" s="27"/>
      <c r="I65" s="27"/>
      <c r="J65" s="27"/>
      <c r="K65" s="27"/>
      <c r="L65" s="27"/>
      <c r="M65" s="27"/>
      <c r="N65" s="27"/>
      <c r="O65" s="27"/>
      <c r="P65" s="27"/>
    </row>
    <row r="66" spans="1:16" ht="48" customHeight="1">
      <c r="A66">
        <v>0</v>
      </c>
      <c r="B66">
        <v>0</v>
      </c>
      <c r="C66">
        <v>0</v>
      </c>
      <c r="D66">
        <v>0</v>
      </c>
      <c r="F66" s="27">
        <f>IF(U6,IF(V2&lt;=1,"", IF(ISNA(C66),"",A66&amp; " - " &amp; C66)),"")</f>
        <v>0</v>
      </c>
      <c r="G66" s="27"/>
      <c r="H66" s="27"/>
      <c r="I66" s="27"/>
      <c r="J66" s="27"/>
      <c r="K66" s="27"/>
      <c r="L66" s="27"/>
      <c r="M66" s="27"/>
      <c r="N66" s="27"/>
      <c r="O66" s="27"/>
      <c r="P66" s="27"/>
    </row>
    <row r="67" spans="1:16" ht="48" customHeight="1">
      <c r="A67">
        <v>0</v>
      </c>
      <c r="B67">
        <v>0</v>
      </c>
      <c r="C67">
        <v>0</v>
      </c>
      <c r="D67">
        <v>0</v>
      </c>
      <c r="F67" s="27">
        <f>IF(U6,IF(V2&lt;=1,"", IF(ISNA(C67),"",A67&amp; " - " &amp; C67)),"")</f>
        <v>0</v>
      </c>
      <c r="G67" s="27"/>
      <c r="H67" s="27"/>
      <c r="I67" s="27"/>
      <c r="J67" s="27"/>
      <c r="K67" s="27"/>
      <c r="L67" s="27"/>
      <c r="M67" s="27"/>
      <c r="N67" s="27"/>
      <c r="O67" s="27"/>
      <c r="P67" s="27"/>
    </row>
    <row r="68" spans="1:16" ht="48" customHeight="1">
      <c r="A68">
        <v>0</v>
      </c>
      <c r="B68">
        <v>0</v>
      </c>
      <c r="C68">
        <v>0</v>
      </c>
      <c r="D68">
        <v>0</v>
      </c>
      <c r="F68" s="27">
        <f>IF(U6,IF(V2&lt;=1,"", IF(ISNA(C68),"",A68&amp; " - " &amp; C68)),"")</f>
        <v>0</v>
      </c>
      <c r="G68" s="27"/>
      <c r="H68" s="27"/>
      <c r="I68" s="27"/>
      <c r="J68" s="27"/>
      <c r="K68" s="27"/>
      <c r="L68" s="27"/>
      <c r="M68" s="27"/>
      <c r="N68" s="27"/>
      <c r="O68" s="27"/>
      <c r="P68" s="27"/>
    </row>
    <row r="69" spans="1:16" ht="48" customHeight="1">
      <c r="A69">
        <v>0</v>
      </c>
      <c r="B69">
        <v>0</v>
      </c>
      <c r="C69">
        <v>0</v>
      </c>
      <c r="D69">
        <v>0</v>
      </c>
      <c r="F69" s="27">
        <f>IF(U6,IF(V2&lt;=1,"", IF(ISNA(C69),"",A69&amp; " - " &amp; C69)),"")</f>
        <v>0</v>
      </c>
      <c r="G69" s="27"/>
      <c r="H69" s="27"/>
      <c r="I69" s="27"/>
      <c r="J69" s="27"/>
      <c r="K69" s="27"/>
      <c r="L69" s="27"/>
      <c r="M69" s="27"/>
      <c r="N69" s="27"/>
      <c r="O69" s="27"/>
      <c r="P69" s="27"/>
    </row>
    <row r="70" spans="1:16" ht="48" customHeight="1">
      <c r="A70">
        <v>0</v>
      </c>
      <c r="B70">
        <v>0</v>
      </c>
      <c r="C70">
        <v>0</v>
      </c>
      <c r="D70">
        <v>0</v>
      </c>
      <c r="F70" s="27">
        <f>IF(U6,IF(V2&lt;=1,"", IF(ISNA(C70),"",A70&amp; " - " &amp; C70)),"")</f>
        <v>0</v>
      </c>
      <c r="G70" s="27"/>
      <c r="H70" s="27"/>
      <c r="I70" s="27"/>
      <c r="J70" s="27"/>
      <c r="K70" s="27"/>
      <c r="L70" s="27"/>
      <c r="M70" s="27"/>
      <c r="N70" s="27"/>
      <c r="O70" s="27"/>
      <c r="P70" s="27"/>
    </row>
    <row r="71" spans="1:16" ht="48" customHeight="1">
      <c r="A71">
        <v>0</v>
      </c>
      <c r="B71">
        <v>0</v>
      </c>
      <c r="C71">
        <v>0</v>
      </c>
      <c r="D71">
        <v>0</v>
      </c>
      <c r="F71" s="27">
        <f>IF(U6,IF(V2&lt;=1,"", IF(ISNA(C71),"",A71&amp; " - " &amp; C71)),"")</f>
        <v>0</v>
      </c>
      <c r="G71" s="27"/>
      <c r="H71" s="27"/>
      <c r="I71" s="27"/>
      <c r="J71" s="27"/>
      <c r="K71" s="27"/>
      <c r="L71" s="27"/>
      <c r="M71" s="27"/>
      <c r="N71" s="27"/>
      <c r="O71" s="27"/>
      <c r="P71" s="27"/>
    </row>
    <row r="72" spans="1:16" ht="48" customHeight="1">
      <c r="A72">
        <v>0</v>
      </c>
      <c r="B72">
        <v>0</v>
      </c>
      <c r="C72">
        <v>0</v>
      </c>
      <c r="D72">
        <v>0</v>
      </c>
      <c r="F72" s="27">
        <f>IF(U6,IF(V2&lt;=1,"", IF(ISNA(C72),"",A72&amp; " - " &amp; C72)),"")</f>
        <v>0</v>
      </c>
      <c r="G72" s="27"/>
      <c r="H72" s="27"/>
      <c r="I72" s="27"/>
      <c r="J72" s="27"/>
      <c r="K72" s="27"/>
      <c r="L72" s="27"/>
      <c r="M72" s="27"/>
      <c r="N72" s="27"/>
      <c r="O72" s="27"/>
      <c r="P72" s="27"/>
    </row>
    <row r="73" spans="1:16" ht="48" customHeight="1">
      <c r="A73">
        <v>0</v>
      </c>
      <c r="B73">
        <v>0</v>
      </c>
      <c r="C73">
        <v>0</v>
      </c>
      <c r="D73">
        <v>0</v>
      </c>
      <c r="F73" s="27">
        <f>IF(U6,IF(V2&lt;=1,"", IF(ISNA(C73),"",A73&amp; " - " &amp; C73)),"")</f>
        <v>0</v>
      </c>
      <c r="G73" s="27"/>
      <c r="H73" s="27"/>
      <c r="I73" s="27"/>
      <c r="J73" s="27"/>
      <c r="K73" s="27"/>
      <c r="L73" s="27"/>
      <c r="M73" s="27"/>
      <c r="N73" s="27"/>
      <c r="O73" s="27"/>
      <c r="P73" s="27"/>
    </row>
    <row r="74" spans="1:16" ht="48" customHeight="1">
      <c r="A74">
        <v>0</v>
      </c>
      <c r="B74">
        <v>0</v>
      </c>
      <c r="C74">
        <v>0</v>
      </c>
      <c r="D74">
        <v>0</v>
      </c>
      <c r="F74" s="27">
        <f>IF(U6,IF(V2&lt;=1,"", IF(ISNA(C74),"",A74&amp; " - " &amp; C74)),"")</f>
        <v>0</v>
      </c>
      <c r="G74" s="27"/>
      <c r="H74" s="27"/>
      <c r="I74" s="27"/>
      <c r="J74" s="27"/>
      <c r="K74" s="27"/>
      <c r="L74" s="27"/>
      <c r="M74" s="27"/>
      <c r="N74" s="27"/>
      <c r="O74" s="27"/>
      <c r="P74" s="27"/>
    </row>
    <row r="75" spans="1:16" ht="48" customHeight="1">
      <c r="A75">
        <v>0</v>
      </c>
      <c r="B75">
        <v>0</v>
      </c>
      <c r="C75">
        <v>0</v>
      </c>
      <c r="D75">
        <v>0</v>
      </c>
      <c r="F75" s="27">
        <f>IF(U6,IF(V2&lt;=1,"", IF(ISNA(C75),"",A75&amp; " - " &amp; C75)),"")</f>
        <v>0</v>
      </c>
      <c r="G75" s="27"/>
      <c r="H75" s="27"/>
      <c r="I75" s="27"/>
      <c r="J75" s="27"/>
      <c r="K75" s="27"/>
      <c r="L75" s="27"/>
      <c r="M75" s="27"/>
      <c r="N75" s="27"/>
      <c r="O75" s="27"/>
      <c r="P75" s="27"/>
    </row>
    <row r="76" spans="1:16" ht="48" customHeight="1">
      <c r="A76">
        <v>0</v>
      </c>
      <c r="B76">
        <v>0</v>
      </c>
      <c r="C76">
        <v>0</v>
      </c>
      <c r="D76">
        <v>0</v>
      </c>
      <c r="F76" s="27">
        <f>IF(U6,IF(V2&lt;=1,"", IF(ISNA(C76),"",A76&amp; " - " &amp; C76)),"")</f>
        <v>0</v>
      </c>
      <c r="G76" s="27"/>
      <c r="H76" s="27"/>
      <c r="I76" s="27"/>
      <c r="J76" s="27"/>
      <c r="K76" s="27"/>
      <c r="L76" s="27"/>
      <c r="M76" s="27"/>
      <c r="N76" s="27"/>
      <c r="O76" s="27"/>
      <c r="P76" s="27"/>
    </row>
    <row r="77" spans="1:16" ht="48" customHeight="1">
      <c r="A77">
        <v>0</v>
      </c>
      <c r="B77">
        <v>0</v>
      </c>
      <c r="C77">
        <v>0</v>
      </c>
      <c r="D77">
        <v>0</v>
      </c>
      <c r="F77" s="27">
        <f>IF(U6,IF(V2&lt;=1,"", IF(ISNA(C77),"",A77&amp; " - " &amp; C77)),"")</f>
        <v>0</v>
      </c>
      <c r="G77" s="27"/>
      <c r="H77" s="27"/>
      <c r="I77" s="27"/>
      <c r="J77" s="27"/>
      <c r="K77" s="27"/>
      <c r="L77" s="27"/>
      <c r="M77" s="27"/>
      <c r="N77" s="27"/>
      <c r="O77" s="27"/>
      <c r="P77" s="27"/>
    </row>
    <row r="78" spans="1:16" ht="48" customHeight="1">
      <c r="A78">
        <v>0</v>
      </c>
      <c r="B78">
        <v>0</v>
      </c>
      <c r="C78">
        <v>0</v>
      </c>
      <c r="D78">
        <v>0</v>
      </c>
      <c r="F78" s="27">
        <f>IF(U6,IF(V2&lt;=1,"", IF(ISNA(C78),"",A78&amp; " - " &amp; C78)),"")</f>
        <v>0</v>
      </c>
      <c r="G78" s="27"/>
      <c r="H78" s="27"/>
      <c r="I78" s="27"/>
      <c r="J78" s="27"/>
      <c r="K78" s="27"/>
      <c r="L78" s="27"/>
      <c r="M78" s="27"/>
      <c r="N78" s="27"/>
      <c r="O78" s="27"/>
      <c r="P78" s="27"/>
    </row>
    <row r="79" spans="1:16" ht="48" customHeight="1">
      <c r="A79">
        <v>0</v>
      </c>
      <c r="B79">
        <v>0</v>
      </c>
      <c r="C79">
        <v>0</v>
      </c>
      <c r="D79">
        <v>0</v>
      </c>
      <c r="F79" s="27">
        <f>IF(U6,IF(V2&lt;=1,"", IF(ISNA(C79),"",A79&amp; " - " &amp; C79)),"")</f>
        <v>0</v>
      </c>
      <c r="G79" s="27"/>
      <c r="H79" s="27"/>
      <c r="I79" s="27"/>
      <c r="J79" s="27"/>
      <c r="K79" s="27"/>
      <c r="L79" s="27"/>
      <c r="M79" s="27"/>
      <c r="N79" s="27"/>
      <c r="O79" s="27"/>
      <c r="P79" s="27"/>
    </row>
    <row r="80" spans="1:16" ht="48" customHeight="1">
      <c r="A80">
        <v>0</v>
      </c>
      <c r="B80">
        <v>0</v>
      </c>
      <c r="C80">
        <v>0</v>
      </c>
      <c r="D80">
        <v>0</v>
      </c>
      <c r="F80" s="27">
        <f>IF(U6,IF(V2&lt;=1,"", IF(ISNA(C80),"",A80&amp; " - " &amp; C80)),"")</f>
        <v>0</v>
      </c>
      <c r="G80" s="27"/>
      <c r="H80" s="27"/>
      <c r="I80" s="27"/>
      <c r="J80" s="27"/>
      <c r="K80" s="27"/>
      <c r="L80" s="27"/>
      <c r="M80" s="27"/>
      <c r="N80" s="27"/>
      <c r="O80" s="27"/>
      <c r="P80" s="27"/>
    </row>
    <row r="81" spans="1:16" ht="48" customHeight="1">
      <c r="A81">
        <v>0</v>
      </c>
      <c r="B81">
        <v>0</v>
      </c>
      <c r="C81">
        <v>0</v>
      </c>
      <c r="D81">
        <v>0</v>
      </c>
      <c r="F81" s="27">
        <f>IF(U6,IF(V2&lt;=1,"", IF(ISNA(C81),"",A81&amp; " - " &amp; C81)),"")</f>
        <v>0</v>
      </c>
      <c r="G81" s="27"/>
      <c r="H81" s="27"/>
      <c r="I81" s="27"/>
      <c r="J81" s="27"/>
      <c r="K81" s="27"/>
      <c r="L81" s="27"/>
      <c r="M81" s="27"/>
      <c r="N81" s="27"/>
      <c r="O81" s="27"/>
      <c r="P81" s="27"/>
    </row>
    <row r="82" spans="1:16" ht="48" customHeight="1">
      <c r="A82">
        <v>0</v>
      </c>
      <c r="B82">
        <v>0</v>
      </c>
      <c r="C82">
        <v>0</v>
      </c>
      <c r="D82">
        <v>0</v>
      </c>
      <c r="F82" s="27">
        <f>IF(U6,IF(V2&lt;=1,"", IF(ISNA(C82),"",A82&amp; " - " &amp; C82)),"")</f>
        <v>0</v>
      </c>
      <c r="G82" s="27"/>
      <c r="H82" s="27"/>
      <c r="I82" s="27"/>
      <c r="J82" s="27"/>
      <c r="K82" s="27"/>
      <c r="L82" s="27"/>
      <c r="M82" s="27"/>
      <c r="N82" s="27"/>
      <c r="O82" s="27"/>
      <c r="P82" s="27"/>
    </row>
    <row r="83" spans="1:16" ht="48" customHeight="1">
      <c r="A83">
        <v>0</v>
      </c>
      <c r="B83">
        <v>0</v>
      </c>
      <c r="C83">
        <v>0</v>
      </c>
      <c r="D83">
        <v>0</v>
      </c>
      <c r="F83" s="27">
        <f>IF(U6,IF(V2&lt;=1,"", IF(ISNA(C83),"",A83&amp; " - " &amp; C83)),"")</f>
        <v>0</v>
      </c>
      <c r="G83" s="27"/>
      <c r="H83" s="27"/>
      <c r="I83" s="27"/>
      <c r="J83" s="27"/>
      <c r="K83" s="27"/>
      <c r="L83" s="27"/>
      <c r="M83" s="27"/>
      <c r="N83" s="27"/>
      <c r="O83" s="27"/>
      <c r="P83" s="27"/>
    </row>
    <row r="84" spans="1:16" ht="48" customHeight="1">
      <c r="A84">
        <v>0</v>
      </c>
      <c r="B84">
        <v>0</v>
      </c>
      <c r="C84">
        <v>0</v>
      </c>
      <c r="D84">
        <v>0</v>
      </c>
      <c r="F84" s="27">
        <f>IF(U6,IF(V2&lt;=1,"", IF(ISNA(C84),"",A84&amp; " - " &amp; C84)),"")</f>
        <v>0</v>
      </c>
      <c r="G84" s="27"/>
      <c r="H84" s="27"/>
      <c r="I84" s="27"/>
      <c r="J84" s="27"/>
      <c r="K84" s="27"/>
      <c r="L84" s="27"/>
      <c r="M84" s="27"/>
      <c r="N84" s="27"/>
      <c r="O84" s="27"/>
      <c r="P84" s="27"/>
    </row>
    <row r="85" spans="1:16" ht="48" customHeight="1">
      <c r="A85">
        <v>0</v>
      </c>
      <c r="B85">
        <v>0</v>
      </c>
      <c r="C85">
        <v>0</v>
      </c>
      <c r="D85">
        <v>0</v>
      </c>
      <c r="F85" s="27">
        <f>IF(U6,IF(V2&lt;=1,"", IF(ISNA(C85),"",A85&amp; " - " &amp; C85)),"")</f>
        <v>0</v>
      </c>
      <c r="G85" s="27"/>
      <c r="H85" s="27"/>
      <c r="I85" s="27"/>
      <c r="J85" s="27"/>
      <c r="K85" s="27"/>
      <c r="L85" s="27"/>
      <c r="M85" s="27"/>
      <c r="N85" s="27"/>
      <c r="O85" s="27"/>
      <c r="P85" s="27"/>
    </row>
    <row r="86" spans="1:16" ht="48" customHeight="1">
      <c r="A86">
        <v>0</v>
      </c>
      <c r="B86">
        <v>0</v>
      </c>
      <c r="C86">
        <v>0</v>
      </c>
      <c r="D86">
        <v>0</v>
      </c>
      <c r="F86" s="27">
        <f>IF(U6,IF(V2&lt;=1,"", IF(ISNA(C86),"",A86&amp; " - " &amp; C86)),"")</f>
        <v>0</v>
      </c>
      <c r="G86" s="27"/>
      <c r="H86" s="27"/>
      <c r="I86" s="27"/>
      <c r="J86" s="27"/>
      <c r="K86" s="27"/>
      <c r="L86" s="27"/>
      <c r="M86" s="27"/>
      <c r="N86" s="27"/>
      <c r="O86" s="27"/>
      <c r="P86" s="27"/>
    </row>
    <row r="87" spans="1:16" ht="48" customHeight="1">
      <c r="A87">
        <v>0</v>
      </c>
      <c r="B87">
        <v>0</v>
      </c>
      <c r="C87">
        <v>0</v>
      </c>
      <c r="D87">
        <v>0</v>
      </c>
      <c r="F87" s="27">
        <f>IF(U6,IF(V2&lt;=1,"", IF(ISNA(C87),"",A87&amp; " - " &amp; C87)),"")</f>
        <v>0</v>
      </c>
      <c r="G87" s="27"/>
      <c r="H87" s="27"/>
      <c r="I87" s="27"/>
      <c r="J87" s="27"/>
      <c r="K87" s="27"/>
      <c r="L87" s="27"/>
      <c r="M87" s="27"/>
      <c r="N87" s="27"/>
      <c r="O87" s="27"/>
      <c r="P87" s="27"/>
    </row>
    <row r="88" spans="1:16" ht="48" customHeight="1">
      <c r="A88">
        <v>0</v>
      </c>
      <c r="B88">
        <v>0</v>
      </c>
      <c r="C88">
        <v>0</v>
      </c>
      <c r="D88">
        <v>0</v>
      </c>
      <c r="F88" s="27">
        <f>IF(U6,IF(V2&lt;=1,"", IF(ISNA(C88),"",A88&amp; " - " &amp; C88)),"")</f>
        <v>0</v>
      </c>
      <c r="G88" s="27"/>
      <c r="H88" s="27"/>
      <c r="I88" s="27"/>
      <c r="J88" s="27"/>
      <c r="K88" s="27"/>
      <c r="L88" s="27"/>
      <c r="M88" s="27"/>
      <c r="N88" s="27"/>
      <c r="O88" s="27"/>
      <c r="P88" s="27"/>
    </row>
    <row r="89" spans="1:16" ht="48" customHeight="1">
      <c r="A89">
        <v>0</v>
      </c>
      <c r="B89">
        <v>0</v>
      </c>
      <c r="C89">
        <v>0</v>
      </c>
      <c r="D89">
        <v>0</v>
      </c>
      <c r="F89" s="27">
        <f>IF(U6,IF(V2&lt;=1,"", IF(ISNA(C89),"",A89&amp; " - " &amp; C89)),"")</f>
        <v>0</v>
      </c>
      <c r="G89" s="27"/>
      <c r="H89" s="27"/>
      <c r="I89" s="27"/>
      <c r="J89" s="27"/>
      <c r="K89" s="27"/>
      <c r="L89" s="27"/>
      <c r="M89" s="27"/>
      <c r="N89" s="27"/>
      <c r="O89" s="27"/>
      <c r="P89" s="27"/>
    </row>
    <row r="90" spans="1:16" ht="48" customHeight="1">
      <c r="A90">
        <v>0</v>
      </c>
      <c r="B90">
        <v>0</v>
      </c>
      <c r="C90">
        <v>0</v>
      </c>
      <c r="D90">
        <v>0</v>
      </c>
      <c r="F90" s="27">
        <f>IF(U6,IF(V2&lt;=1,"", IF(ISNA(C90),"",A90&amp; " - " &amp; C90)),"")</f>
        <v>0</v>
      </c>
      <c r="G90" s="27"/>
      <c r="H90" s="27"/>
      <c r="I90" s="27"/>
      <c r="J90" s="27"/>
      <c r="K90" s="27"/>
      <c r="L90" s="27"/>
      <c r="M90" s="27"/>
      <c r="N90" s="27"/>
      <c r="O90" s="27"/>
      <c r="P90" s="27"/>
    </row>
    <row r="91" spans="1:16" ht="48" customHeight="1">
      <c r="A91">
        <v>0</v>
      </c>
      <c r="B91">
        <v>0</v>
      </c>
      <c r="C91">
        <v>0</v>
      </c>
      <c r="D91">
        <v>0</v>
      </c>
      <c r="F91" s="27">
        <f>IF(U6,IF(V2&lt;=1,"", IF(ISNA(C91),"",A91&amp; " - " &amp; C91)),"")</f>
        <v>0</v>
      </c>
      <c r="G91" s="27"/>
      <c r="H91" s="27"/>
      <c r="I91" s="27"/>
      <c r="J91" s="27"/>
      <c r="K91" s="27"/>
      <c r="L91" s="27"/>
      <c r="M91" s="27"/>
      <c r="N91" s="27"/>
      <c r="O91" s="27"/>
      <c r="P91" s="27"/>
    </row>
    <row r="92" spans="1:16" ht="48" customHeight="1">
      <c r="A92">
        <v>0</v>
      </c>
      <c r="B92">
        <v>0</v>
      </c>
      <c r="C92">
        <v>0</v>
      </c>
      <c r="D92">
        <v>0</v>
      </c>
      <c r="F92" s="27">
        <f>IF(U6,IF(V2&lt;=1,"", IF(ISNA(C92),"",A92&amp; " - " &amp; C92)),"")</f>
        <v>0</v>
      </c>
      <c r="G92" s="27"/>
      <c r="H92" s="27"/>
      <c r="I92" s="27"/>
      <c r="J92" s="27"/>
      <c r="K92" s="27"/>
      <c r="L92" s="27"/>
      <c r="M92" s="27"/>
      <c r="N92" s="27"/>
      <c r="O92" s="27"/>
      <c r="P92" s="27"/>
    </row>
    <row r="93" spans="1:16" ht="48" customHeight="1">
      <c r="A93">
        <v>0</v>
      </c>
      <c r="B93">
        <v>0</v>
      </c>
      <c r="C93">
        <v>0</v>
      </c>
      <c r="D93">
        <v>0</v>
      </c>
      <c r="F93" s="27">
        <f>IF(U6,IF(V2&lt;=1,"", IF(ISNA(C93),"",A93&amp; " - " &amp; C93)),"")</f>
        <v>0</v>
      </c>
      <c r="G93" s="27"/>
      <c r="H93" s="27"/>
      <c r="I93" s="27"/>
      <c r="J93" s="27"/>
      <c r="K93" s="27"/>
      <c r="L93" s="27"/>
      <c r="M93" s="27"/>
      <c r="N93" s="27"/>
      <c r="O93" s="27"/>
      <c r="P93" s="27"/>
    </row>
    <row r="94" spans="1:16" ht="48" customHeight="1">
      <c r="A94">
        <v>0</v>
      </c>
      <c r="B94">
        <v>0</v>
      </c>
      <c r="C94">
        <v>0</v>
      </c>
      <c r="D94">
        <v>0</v>
      </c>
      <c r="F94" s="27">
        <f>IF(U6,IF(V2&lt;=1,"", IF(ISNA(C94),"",A94&amp; " - " &amp; C94)),"")</f>
        <v>0</v>
      </c>
      <c r="G94" s="27"/>
      <c r="H94" s="27"/>
      <c r="I94" s="27"/>
      <c r="J94" s="27"/>
      <c r="K94" s="27"/>
      <c r="L94" s="27"/>
      <c r="M94" s="27"/>
      <c r="N94" s="27"/>
      <c r="O94" s="27"/>
      <c r="P94" s="27"/>
    </row>
    <row r="95" spans="1:16" ht="48" customHeight="1">
      <c r="A95">
        <v>0</v>
      </c>
      <c r="B95">
        <v>0</v>
      </c>
      <c r="C95">
        <v>0</v>
      </c>
      <c r="D95">
        <v>0</v>
      </c>
      <c r="F95" s="27">
        <f>IF(U6,IF(V2&lt;=1,"", IF(ISNA(C95),"",A95&amp; " - " &amp; C95)),"")</f>
        <v>0</v>
      </c>
      <c r="G95" s="27"/>
      <c r="H95" s="27"/>
      <c r="I95" s="27"/>
      <c r="J95" s="27"/>
      <c r="K95" s="27"/>
      <c r="L95" s="27"/>
      <c r="M95" s="27"/>
      <c r="N95" s="27"/>
      <c r="O95" s="27"/>
      <c r="P95" s="27"/>
    </row>
    <row r="96" spans="1:16" ht="48" customHeight="1">
      <c r="A96">
        <v>0</v>
      </c>
      <c r="B96">
        <v>0</v>
      </c>
      <c r="C96">
        <v>0</v>
      </c>
      <c r="D96">
        <v>0</v>
      </c>
      <c r="F96" s="27">
        <f>IF(U6,IF(V2&lt;=1,"", IF(ISNA(C96),"",A96&amp; " - " &amp; C96)),"")</f>
        <v>0</v>
      </c>
      <c r="G96" s="27"/>
      <c r="H96" s="27"/>
      <c r="I96" s="27"/>
      <c r="J96" s="27"/>
      <c r="K96" s="27"/>
      <c r="L96" s="27"/>
      <c r="M96" s="27"/>
      <c r="N96" s="27"/>
      <c r="O96" s="27"/>
      <c r="P96" s="27"/>
    </row>
    <row r="97" spans="1:16" ht="48" customHeight="1">
      <c r="A97">
        <v>0</v>
      </c>
      <c r="B97">
        <v>0</v>
      </c>
      <c r="C97">
        <v>0</v>
      </c>
      <c r="D97">
        <v>0</v>
      </c>
      <c r="F97" s="27">
        <f>IF(U6,IF(V2&lt;=1,"", IF(ISNA(C97),"",A97&amp; " - " &amp; C97)),"")</f>
        <v>0</v>
      </c>
      <c r="G97" s="27"/>
      <c r="H97" s="27"/>
      <c r="I97" s="27"/>
      <c r="J97" s="27"/>
      <c r="K97" s="27"/>
      <c r="L97" s="27"/>
      <c r="M97" s="27"/>
      <c r="N97" s="27"/>
      <c r="O97" s="27"/>
      <c r="P97" s="27"/>
    </row>
    <row r="98" spans="1:16" ht="48" customHeight="1">
      <c r="A98">
        <v>0</v>
      </c>
      <c r="B98">
        <v>0</v>
      </c>
      <c r="C98">
        <v>0</v>
      </c>
      <c r="D98">
        <v>0</v>
      </c>
      <c r="F98" s="27">
        <f>IF(U6,IF(V2&lt;=1,"", IF(ISNA(C98),"",A98&amp; " - " &amp; C98)),"")</f>
        <v>0</v>
      </c>
      <c r="G98" s="27"/>
      <c r="H98" s="27"/>
      <c r="I98" s="27"/>
      <c r="J98" s="27"/>
      <c r="K98" s="27"/>
      <c r="L98" s="27"/>
      <c r="M98" s="27"/>
      <c r="N98" s="27"/>
      <c r="O98" s="27"/>
      <c r="P98" s="27"/>
    </row>
    <row r="99" spans="1:16" ht="48" customHeight="1">
      <c r="A99">
        <v>0</v>
      </c>
      <c r="B99">
        <v>0</v>
      </c>
      <c r="C99">
        <v>0</v>
      </c>
      <c r="D99">
        <v>0</v>
      </c>
      <c r="F99" s="27">
        <f>IF(U6,IF(V2&lt;=1,"", IF(ISNA(C99),"",A99&amp; " - " &amp; C99)),"")</f>
        <v>0</v>
      </c>
      <c r="G99" s="27"/>
      <c r="H99" s="27"/>
      <c r="I99" s="27"/>
      <c r="J99" s="27"/>
      <c r="K99" s="27"/>
      <c r="L99" s="27"/>
      <c r="M99" s="27"/>
      <c r="N99" s="27"/>
      <c r="O99" s="27"/>
      <c r="P99" s="27"/>
    </row>
    <row r="100" spans="1:16" ht="48" customHeight="1">
      <c r="A100">
        <v>0</v>
      </c>
      <c r="B100">
        <v>0</v>
      </c>
      <c r="C100">
        <v>0</v>
      </c>
      <c r="D100">
        <v>0</v>
      </c>
      <c r="F100" s="27">
        <f>IF(U6,IF(V2&lt;=1,"", IF(ISNA(C100),"",A100&amp; " - " &amp; C100)),"")</f>
        <v>0</v>
      </c>
      <c r="G100" s="27"/>
      <c r="H100" s="27"/>
      <c r="I100" s="27"/>
      <c r="J100" s="27"/>
      <c r="K100" s="27"/>
      <c r="L100" s="27"/>
      <c r="M100" s="27"/>
      <c r="N100" s="27"/>
      <c r="O100" s="27"/>
      <c r="P100" s="27"/>
    </row>
    <row r="101" spans="1:16" ht="48" customHeight="1">
      <c r="A101">
        <v>0</v>
      </c>
      <c r="B101">
        <v>0</v>
      </c>
      <c r="C101">
        <v>0</v>
      </c>
      <c r="D101">
        <v>0</v>
      </c>
      <c r="F101" s="27">
        <f>IF(U6,IF(V2&lt;=1,"", IF(ISNA(C101),"",A101&amp; " - " &amp; C101)),"")</f>
        <v>0</v>
      </c>
      <c r="G101" s="27"/>
      <c r="H101" s="27"/>
      <c r="I101" s="27"/>
      <c r="J101" s="27"/>
      <c r="K101" s="27"/>
      <c r="L101" s="27"/>
      <c r="M101" s="27"/>
      <c r="N101" s="27"/>
      <c r="O101" s="27"/>
      <c r="P101" s="27"/>
    </row>
    <row r="102" spans="1:16" ht="48" customHeight="1">
      <c r="A102">
        <v>0</v>
      </c>
      <c r="B102">
        <v>0</v>
      </c>
      <c r="C102">
        <v>0</v>
      </c>
      <c r="D102">
        <v>0</v>
      </c>
      <c r="F102" s="27">
        <f>IF(U6,IF(V2&lt;=1,"", IF(ISNA(C102),"",A102&amp; " - " &amp; C102)),"")</f>
        <v>0</v>
      </c>
      <c r="G102" s="27"/>
      <c r="H102" s="27"/>
      <c r="I102" s="27"/>
      <c r="J102" s="27"/>
      <c r="K102" s="27"/>
      <c r="L102" s="27"/>
      <c r="M102" s="27"/>
      <c r="N102" s="27"/>
      <c r="O102" s="27"/>
      <c r="P102" s="27"/>
    </row>
    <row r="103" spans="1:16" ht="48" customHeight="1">
      <c r="A103">
        <v>0</v>
      </c>
      <c r="B103">
        <v>0</v>
      </c>
      <c r="C103">
        <v>0</v>
      </c>
      <c r="D103">
        <v>0</v>
      </c>
      <c r="F103" s="27">
        <f>IF(U6,IF(V2&lt;=1,"", IF(ISNA(C103),"",A103&amp; " - " &amp; C103)),"")</f>
        <v>0</v>
      </c>
      <c r="G103" s="27"/>
      <c r="H103" s="27"/>
      <c r="I103" s="27"/>
      <c r="J103" s="27"/>
      <c r="K103" s="27"/>
      <c r="L103" s="27"/>
      <c r="M103" s="27"/>
      <c r="N103" s="27"/>
      <c r="O103" s="27"/>
      <c r="P103" s="27"/>
    </row>
    <row r="104" spans="1:16" ht="48" customHeight="1">
      <c r="A104">
        <v>0</v>
      </c>
      <c r="B104">
        <v>0</v>
      </c>
      <c r="C104">
        <v>0</v>
      </c>
      <c r="D104">
        <v>0</v>
      </c>
      <c r="F104" s="27">
        <f>IF(U6,IF(V2&lt;=1,"", IF(ISNA(C104),"",A104&amp; " - " &amp; C104)),"")</f>
        <v>0</v>
      </c>
      <c r="G104" s="27"/>
      <c r="H104" s="27"/>
      <c r="I104" s="27"/>
      <c r="J104" s="27"/>
      <c r="K104" s="27"/>
      <c r="L104" s="27"/>
      <c r="M104" s="27"/>
      <c r="N104" s="27"/>
      <c r="O104" s="27"/>
      <c r="P104" s="27"/>
    </row>
    <row r="105" spans="1:16" ht="48" customHeight="1">
      <c r="A105">
        <v>0</v>
      </c>
      <c r="B105">
        <v>0</v>
      </c>
      <c r="C105">
        <v>0</v>
      </c>
      <c r="D105">
        <v>0</v>
      </c>
      <c r="F105" s="27">
        <f>IF(U6,IF(V2&lt;=1,"", IF(ISNA(C105),"",A105&amp; " - " &amp; C105)),"")</f>
        <v>0</v>
      </c>
      <c r="G105" s="27"/>
      <c r="H105" s="27"/>
      <c r="I105" s="27"/>
      <c r="J105" s="27"/>
      <c r="K105" s="27"/>
      <c r="L105" s="27"/>
      <c r="M105" s="27"/>
      <c r="N105" s="27"/>
      <c r="O105" s="27"/>
      <c r="P105" s="27"/>
    </row>
    <row r="106" spans="1:16" ht="48" customHeight="1">
      <c r="A106">
        <v>0</v>
      </c>
      <c r="B106">
        <v>0</v>
      </c>
      <c r="C106">
        <v>0</v>
      </c>
      <c r="D106">
        <v>0</v>
      </c>
      <c r="F106" s="27">
        <f>IF(U6,IF(V2&lt;=1,"", IF(ISNA(C106),"",A106&amp; " - " &amp; C106)),"")</f>
        <v>0</v>
      </c>
      <c r="G106" s="27"/>
      <c r="H106" s="27"/>
      <c r="I106" s="27"/>
      <c r="J106" s="27"/>
      <c r="K106" s="27"/>
      <c r="L106" s="27"/>
      <c r="M106" s="27"/>
      <c r="N106" s="27"/>
      <c r="O106" s="27"/>
      <c r="P106" s="27"/>
    </row>
    <row r="107" spans="1:16" ht="48" customHeight="1">
      <c r="A107">
        <v>0</v>
      </c>
      <c r="B107">
        <v>0</v>
      </c>
      <c r="C107">
        <v>0</v>
      </c>
      <c r="D107">
        <v>0</v>
      </c>
      <c r="F107" s="27">
        <f>IF(U6,IF(V2&lt;=1,"", IF(ISNA(C107),"",A107&amp; " - " &amp; C107)),"")</f>
        <v>0</v>
      </c>
      <c r="G107" s="27"/>
      <c r="H107" s="27"/>
      <c r="I107" s="27"/>
      <c r="J107" s="27"/>
      <c r="K107" s="27"/>
      <c r="L107" s="27"/>
      <c r="M107" s="27"/>
      <c r="N107" s="27"/>
      <c r="O107" s="27"/>
      <c r="P107" s="27"/>
    </row>
    <row r="108" spans="1:16" ht="48" customHeight="1">
      <c r="A108">
        <v>0</v>
      </c>
      <c r="B108">
        <v>0</v>
      </c>
      <c r="C108">
        <v>0</v>
      </c>
      <c r="D108">
        <v>0</v>
      </c>
      <c r="F108" s="27">
        <f>IF(U6,IF(V2&lt;=1,"", IF(ISNA(C108),"",A108&amp; " - " &amp; C108)),"")</f>
        <v>0</v>
      </c>
      <c r="G108" s="27"/>
      <c r="H108" s="27"/>
      <c r="I108" s="27"/>
      <c r="J108" s="27"/>
      <c r="K108" s="27"/>
      <c r="L108" s="27"/>
      <c r="M108" s="27"/>
      <c r="N108" s="27"/>
      <c r="O108" s="27"/>
      <c r="P108" s="27"/>
    </row>
    <row r="109" spans="1:16" ht="48" customHeight="1">
      <c r="A109">
        <v>0</v>
      </c>
      <c r="B109">
        <v>0</v>
      </c>
      <c r="C109">
        <v>0</v>
      </c>
      <c r="D109">
        <v>0</v>
      </c>
      <c r="F109" s="27">
        <f>IF(U6,IF(V2&lt;=1,"", IF(ISNA(C109),"",A109&amp; " - " &amp; C109)),"")</f>
        <v>0</v>
      </c>
      <c r="G109" s="27"/>
      <c r="H109" s="27"/>
      <c r="I109" s="27"/>
      <c r="J109" s="27"/>
      <c r="K109" s="27"/>
      <c r="L109" s="27"/>
      <c r="M109" s="27"/>
      <c r="N109" s="27"/>
      <c r="O109" s="27"/>
      <c r="P109" s="27"/>
    </row>
    <row r="110" spans="1:16" ht="48" customHeight="1">
      <c r="A110">
        <v>0</v>
      </c>
      <c r="B110">
        <v>0</v>
      </c>
      <c r="C110">
        <v>0</v>
      </c>
      <c r="D110">
        <v>0</v>
      </c>
      <c r="F110" s="27">
        <f>IF(U6,IF(V2&lt;=1,"", IF(ISNA(C110),"",A110&amp; " - " &amp; C110)),"")</f>
        <v>0</v>
      </c>
      <c r="G110" s="27"/>
      <c r="H110" s="27"/>
      <c r="I110" s="27"/>
      <c r="J110" s="27"/>
      <c r="K110" s="27"/>
      <c r="L110" s="27"/>
      <c r="M110" s="27"/>
      <c r="N110" s="27"/>
      <c r="O110" s="27"/>
      <c r="P110" s="27"/>
    </row>
    <row r="111" spans="1:16" ht="48" customHeight="1">
      <c r="A111">
        <v>0</v>
      </c>
      <c r="B111">
        <v>0</v>
      </c>
      <c r="C111">
        <v>0</v>
      </c>
      <c r="D111">
        <v>0</v>
      </c>
      <c r="F111" s="27">
        <f>IF(U6,IF(V2&lt;=1,"", IF(ISNA(C111),"",A111&amp; " - " &amp; C111)),"")</f>
        <v>0</v>
      </c>
      <c r="G111" s="27"/>
      <c r="H111" s="27"/>
      <c r="I111" s="27"/>
      <c r="J111" s="27"/>
      <c r="K111" s="27"/>
      <c r="L111" s="27"/>
      <c r="M111" s="27"/>
      <c r="N111" s="27"/>
      <c r="O111" s="27"/>
      <c r="P111" s="27"/>
    </row>
    <row r="112" spans="1:16" ht="48" customHeight="1">
      <c r="A112">
        <v>0</v>
      </c>
      <c r="B112">
        <v>0</v>
      </c>
      <c r="C112">
        <v>0</v>
      </c>
      <c r="D112">
        <v>0</v>
      </c>
      <c r="F112" s="27">
        <f>IF(U6,IF(V2&lt;=1,"", IF(ISNA(C112),"",A112&amp; " - " &amp; C112)),"")</f>
        <v>0</v>
      </c>
      <c r="G112" s="27"/>
      <c r="H112" s="27"/>
      <c r="I112" s="27"/>
      <c r="J112" s="27"/>
      <c r="K112" s="27"/>
      <c r="L112" s="27"/>
      <c r="M112" s="27"/>
      <c r="N112" s="27"/>
      <c r="O112" s="27"/>
      <c r="P112" s="27"/>
    </row>
    <row r="113" spans="1:16" ht="48" customHeight="1">
      <c r="A113">
        <v>0</v>
      </c>
      <c r="B113">
        <v>0</v>
      </c>
      <c r="C113">
        <v>0</v>
      </c>
      <c r="D113">
        <v>0</v>
      </c>
      <c r="F113" s="27">
        <f>IF(U6,IF(V2&lt;=1,"", IF(ISNA(C113),"",A113&amp; " - " &amp; C113)),"")</f>
        <v>0</v>
      </c>
      <c r="G113" s="27"/>
      <c r="H113" s="27"/>
      <c r="I113" s="27"/>
      <c r="J113" s="27"/>
      <c r="K113" s="27"/>
      <c r="L113" s="27"/>
      <c r="M113" s="27"/>
      <c r="N113" s="27"/>
      <c r="O113" s="27"/>
      <c r="P113" s="27"/>
    </row>
    <row r="114" spans="1:16" ht="48" customHeight="1">
      <c r="A114">
        <v>0</v>
      </c>
      <c r="B114">
        <v>0</v>
      </c>
      <c r="C114">
        <v>0</v>
      </c>
      <c r="D114">
        <v>0</v>
      </c>
      <c r="F114" s="27">
        <f>IF(U6,IF(V2&lt;=1,"", IF(ISNA(C114),"",A114&amp; " - " &amp; C114)),"")</f>
        <v>0</v>
      </c>
      <c r="G114" s="27"/>
      <c r="H114" s="27"/>
      <c r="I114" s="27"/>
      <c r="J114" s="27"/>
      <c r="K114" s="27"/>
      <c r="L114" s="27"/>
      <c r="M114" s="27"/>
      <c r="N114" s="27"/>
      <c r="O114" s="27"/>
      <c r="P114" s="27"/>
    </row>
    <row r="115" spans="1:16" ht="48" customHeight="1">
      <c r="A115">
        <v>0</v>
      </c>
      <c r="B115">
        <v>0</v>
      </c>
      <c r="C115">
        <v>0</v>
      </c>
      <c r="D115">
        <v>0</v>
      </c>
      <c r="F115" s="27">
        <f>IF(U6,IF(V2&lt;=1,"", IF(ISNA(C115),"",A115&amp; " - " &amp; C115)),"")</f>
        <v>0</v>
      </c>
      <c r="G115" s="27"/>
      <c r="H115" s="27"/>
      <c r="I115" s="27"/>
      <c r="J115" s="27"/>
      <c r="K115" s="27"/>
      <c r="L115" s="27"/>
      <c r="M115" s="27"/>
      <c r="N115" s="27"/>
      <c r="O115" s="27"/>
      <c r="P115" s="27"/>
    </row>
    <row r="116" spans="1:16" ht="48" customHeight="1">
      <c r="A116">
        <v>0</v>
      </c>
      <c r="B116">
        <v>0</v>
      </c>
      <c r="C116">
        <v>0</v>
      </c>
      <c r="D116">
        <v>0</v>
      </c>
      <c r="F116" s="27">
        <f>IF(U6,IF(V2&lt;=1,"", IF(ISNA(C116),"",A116&amp; " - " &amp; C116)),"")</f>
        <v>0</v>
      </c>
      <c r="G116" s="27"/>
      <c r="H116" s="27"/>
      <c r="I116" s="27"/>
      <c r="J116" s="27"/>
      <c r="K116" s="27"/>
      <c r="L116" s="27"/>
      <c r="M116" s="27"/>
      <c r="N116" s="27"/>
      <c r="O116" s="27"/>
      <c r="P116" s="27"/>
    </row>
    <row r="117" spans="1:16" ht="48" customHeight="1">
      <c r="A117">
        <v>0</v>
      </c>
      <c r="B117">
        <v>0</v>
      </c>
      <c r="C117">
        <v>0</v>
      </c>
      <c r="D117">
        <v>0</v>
      </c>
      <c r="F117" s="27">
        <f>IF(U6,IF(V2&lt;=1,"", IF(ISNA(C117),"",A117&amp; " - " &amp; C117)),"")</f>
        <v>0</v>
      </c>
      <c r="G117" s="27"/>
      <c r="H117" s="27"/>
      <c r="I117" s="27"/>
      <c r="J117" s="27"/>
      <c r="K117" s="27"/>
      <c r="L117" s="27"/>
      <c r="M117" s="27"/>
      <c r="N117" s="27"/>
      <c r="O117" s="27"/>
      <c r="P117" s="27"/>
    </row>
    <row r="118" spans="1:16" ht="48" customHeight="1">
      <c r="A118">
        <v>0</v>
      </c>
      <c r="B118">
        <v>0</v>
      </c>
      <c r="C118">
        <v>0</v>
      </c>
      <c r="D118">
        <v>0</v>
      </c>
      <c r="F118" s="27">
        <f>IF(U6,IF(V2&lt;=1,"", IF(ISNA(C118),"",A118&amp; " - " &amp; C118)),"")</f>
        <v>0</v>
      </c>
      <c r="G118" s="27"/>
      <c r="H118" s="27"/>
      <c r="I118" s="27"/>
      <c r="J118" s="27"/>
      <c r="K118" s="27"/>
      <c r="L118" s="27"/>
      <c r="M118" s="27"/>
      <c r="N118" s="27"/>
      <c r="O118" s="27"/>
      <c r="P118" s="27"/>
    </row>
    <row r="119" spans="1:16" ht="48" customHeight="1">
      <c r="A119">
        <v>0</v>
      </c>
      <c r="B119">
        <v>0</v>
      </c>
      <c r="C119">
        <v>0</v>
      </c>
      <c r="D119">
        <v>0</v>
      </c>
      <c r="F119" s="27">
        <f>IF(U6,IF(V2&lt;=1,"", IF(ISNA(C119),"",A119&amp; " - " &amp; C119)),"")</f>
        <v>0</v>
      </c>
      <c r="G119" s="27"/>
      <c r="H119" s="27"/>
      <c r="I119" s="27"/>
      <c r="J119" s="27"/>
      <c r="K119" s="27"/>
      <c r="L119" s="27"/>
      <c r="M119" s="27"/>
      <c r="N119" s="27"/>
      <c r="O119" s="27"/>
      <c r="P119" s="27"/>
    </row>
    <row r="120" spans="1:16" ht="48" customHeight="1">
      <c r="A120">
        <v>0</v>
      </c>
      <c r="B120">
        <v>0</v>
      </c>
      <c r="C120">
        <v>0</v>
      </c>
      <c r="D120">
        <v>0</v>
      </c>
      <c r="F120" s="27">
        <f>IF(U6,IF(V2&lt;=1,"", IF(ISNA(C120),"",A120&amp; " - " &amp; C120)),"")</f>
        <v>0</v>
      </c>
      <c r="G120" s="27"/>
      <c r="H120" s="27"/>
      <c r="I120" s="27"/>
      <c r="J120" s="27"/>
      <c r="K120" s="27"/>
      <c r="L120" s="27"/>
      <c r="M120" s="27"/>
      <c r="N120" s="27"/>
      <c r="O120" s="27"/>
      <c r="P120" s="27"/>
    </row>
    <row r="121" spans="1:16">
      <c r="A121">
        <v>0</v>
      </c>
      <c r="B121">
        <v>0</v>
      </c>
      <c r="C121">
        <v>0</v>
      </c>
      <c r="D121">
        <v>0</v>
      </c>
    </row>
    <row r="122" spans="1:16">
      <c r="A122">
        <v>0</v>
      </c>
      <c r="B122">
        <v>0</v>
      </c>
      <c r="C122">
        <v>0</v>
      </c>
      <c r="D122">
        <v>0</v>
      </c>
    </row>
    <row r="123" spans="1:16">
      <c r="A123">
        <v>0</v>
      </c>
      <c r="B123">
        <v>0</v>
      </c>
      <c r="C123">
        <v>0</v>
      </c>
      <c r="D123">
        <v>0</v>
      </c>
    </row>
    <row r="124" spans="1:16">
      <c r="A124">
        <v>0</v>
      </c>
      <c r="B124">
        <v>0</v>
      </c>
      <c r="C124">
        <v>0</v>
      </c>
      <c r="D124">
        <v>0</v>
      </c>
    </row>
    <row r="125" spans="1:16">
      <c r="A125">
        <v>0</v>
      </c>
      <c r="B125">
        <v>0</v>
      </c>
      <c r="C125">
        <v>0</v>
      </c>
      <c r="D125">
        <v>0</v>
      </c>
    </row>
    <row r="126" spans="1:16">
      <c r="A126">
        <v>0</v>
      </c>
      <c r="B126">
        <v>0</v>
      </c>
      <c r="C126">
        <v>0</v>
      </c>
      <c r="D126">
        <v>0</v>
      </c>
    </row>
    <row r="127" spans="1:16">
      <c r="A127">
        <v>0</v>
      </c>
      <c r="B127">
        <v>0</v>
      </c>
      <c r="C127">
        <v>0</v>
      </c>
      <c r="D127">
        <v>0</v>
      </c>
    </row>
    <row r="128" spans="1:16">
      <c r="A128">
        <v>0</v>
      </c>
      <c r="B128">
        <v>0</v>
      </c>
      <c r="C128">
        <v>0</v>
      </c>
      <c r="D128">
        <v>0</v>
      </c>
    </row>
    <row r="129" spans="1:4">
      <c r="A129">
        <v>0</v>
      </c>
      <c r="B129">
        <v>0</v>
      </c>
      <c r="C129">
        <v>0</v>
      </c>
      <c r="D129">
        <v>0</v>
      </c>
    </row>
    <row r="130" spans="1:4">
      <c r="A130">
        <v>0</v>
      </c>
      <c r="B130">
        <v>0</v>
      </c>
      <c r="C130">
        <v>0</v>
      </c>
      <c r="D130">
        <v>0</v>
      </c>
    </row>
    <row r="131" spans="1:4">
      <c r="A131">
        <v>0</v>
      </c>
      <c r="B131">
        <v>0</v>
      </c>
      <c r="C131">
        <v>0</v>
      </c>
      <c r="D131">
        <v>0</v>
      </c>
    </row>
    <row r="132" spans="1:4">
      <c r="A132">
        <v>0</v>
      </c>
      <c r="B132">
        <v>0</v>
      </c>
      <c r="C132">
        <v>0</v>
      </c>
      <c r="D132">
        <v>0</v>
      </c>
    </row>
    <row r="133" spans="1:4">
      <c r="A133">
        <v>0</v>
      </c>
      <c r="B133">
        <v>0</v>
      </c>
      <c r="C133">
        <v>0</v>
      </c>
      <c r="D133">
        <v>0</v>
      </c>
    </row>
    <row r="134" spans="1:4">
      <c r="A134">
        <v>0</v>
      </c>
      <c r="B134">
        <v>0</v>
      </c>
      <c r="C134">
        <v>0</v>
      </c>
      <c r="D134">
        <v>0</v>
      </c>
    </row>
    <row r="135" spans="1:4">
      <c r="A135">
        <v>0</v>
      </c>
      <c r="B135">
        <v>0</v>
      </c>
      <c r="C135">
        <v>0</v>
      </c>
      <c r="D135">
        <v>0</v>
      </c>
    </row>
    <row r="136" spans="1:4">
      <c r="A136">
        <v>0</v>
      </c>
      <c r="B136">
        <v>0</v>
      </c>
      <c r="C136">
        <v>0</v>
      </c>
      <c r="D136">
        <v>0</v>
      </c>
    </row>
    <row r="137" spans="1:4">
      <c r="A137">
        <v>0</v>
      </c>
      <c r="B137">
        <v>0</v>
      </c>
      <c r="C137">
        <v>0</v>
      </c>
      <c r="D137">
        <v>0</v>
      </c>
    </row>
    <row r="138" spans="1:4">
      <c r="A138">
        <v>0</v>
      </c>
      <c r="B138">
        <v>0</v>
      </c>
      <c r="C138">
        <v>0</v>
      </c>
      <c r="D138">
        <v>0</v>
      </c>
    </row>
    <row r="139" spans="1:4">
      <c r="A139">
        <v>0</v>
      </c>
      <c r="B139">
        <v>0</v>
      </c>
      <c r="C139">
        <v>0</v>
      </c>
      <c r="D139">
        <v>0</v>
      </c>
    </row>
    <row r="140" spans="1:4">
      <c r="A140">
        <v>0</v>
      </c>
      <c r="B140">
        <v>0</v>
      </c>
      <c r="C140">
        <v>0</v>
      </c>
      <c r="D140">
        <v>0</v>
      </c>
    </row>
    <row r="141" spans="1:4">
      <c r="A141">
        <v>0</v>
      </c>
      <c r="B141">
        <v>0</v>
      </c>
      <c r="C141">
        <v>0</v>
      </c>
      <c r="D141">
        <v>0</v>
      </c>
    </row>
    <row r="142" spans="1:4">
      <c r="A142">
        <v>0</v>
      </c>
      <c r="B142">
        <v>0</v>
      </c>
      <c r="C142">
        <v>0</v>
      </c>
      <c r="D142">
        <v>0</v>
      </c>
    </row>
    <row r="143" spans="1:4">
      <c r="A143">
        <v>0</v>
      </c>
      <c r="B143">
        <v>0</v>
      </c>
      <c r="C143">
        <v>0</v>
      </c>
      <c r="D143">
        <v>0</v>
      </c>
    </row>
    <row r="144" spans="1:4">
      <c r="A144">
        <v>0</v>
      </c>
      <c r="B144">
        <v>0</v>
      </c>
      <c r="C144">
        <v>0</v>
      </c>
      <c r="D144">
        <v>0</v>
      </c>
    </row>
    <row r="145" spans="1:4">
      <c r="A145">
        <v>0</v>
      </c>
      <c r="B145">
        <v>0</v>
      </c>
      <c r="C145">
        <v>0</v>
      </c>
      <c r="D145">
        <v>0</v>
      </c>
    </row>
    <row r="146" spans="1:4">
      <c r="A146">
        <v>0</v>
      </c>
      <c r="B146">
        <v>0</v>
      </c>
      <c r="C146">
        <v>0</v>
      </c>
      <c r="D146">
        <v>0</v>
      </c>
    </row>
    <row r="147" spans="1:4">
      <c r="A147">
        <v>0</v>
      </c>
      <c r="B147">
        <v>0</v>
      </c>
      <c r="C147">
        <v>0</v>
      </c>
      <c r="D147">
        <v>0</v>
      </c>
    </row>
    <row r="148" spans="1:4">
      <c r="A148">
        <v>0</v>
      </c>
      <c r="B148">
        <v>0</v>
      </c>
      <c r="C148">
        <v>0</v>
      </c>
      <c r="D148">
        <v>0</v>
      </c>
    </row>
    <row r="149" spans="1:4">
      <c r="A149">
        <v>0</v>
      </c>
      <c r="B149">
        <v>0</v>
      </c>
      <c r="C149">
        <v>0</v>
      </c>
      <c r="D149">
        <v>0</v>
      </c>
    </row>
    <row r="150" spans="1:4">
      <c r="A150">
        <v>0</v>
      </c>
      <c r="B150">
        <v>0</v>
      </c>
      <c r="C150">
        <v>0</v>
      </c>
      <c r="D150">
        <v>0</v>
      </c>
    </row>
    <row r="151" spans="1:4">
      <c r="A151">
        <v>0</v>
      </c>
      <c r="B151">
        <v>0</v>
      </c>
      <c r="C151">
        <v>0</v>
      </c>
      <c r="D151">
        <v>0</v>
      </c>
    </row>
    <row r="152" spans="1:4">
      <c r="A152">
        <v>0</v>
      </c>
      <c r="B152">
        <v>0</v>
      </c>
      <c r="C152">
        <v>0</v>
      </c>
      <c r="D152">
        <v>0</v>
      </c>
    </row>
    <row r="153" spans="1:4">
      <c r="A153">
        <v>0</v>
      </c>
      <c r="B153">
        <v>0</v>
      </c>
      <c r="C153">
        <v>0</v>
      </c>
      <c r="D153">
        <v>0</v>
      </c>
    </row>
    <row r="154" spans="1:4">
      <c r="A154">
        <v>0</v>
      </c>
      <c r="B154">
        <v>0</v>
      </c>
      <c r="C154">
        <v>0</v>
      </c>
      <c r="D154">
        <v>0</v>
      </c>
    </row>
    <row r="155" spans="1:4">
      <c r="A155">
        <v>0</v>
      </c>
      <c r="B155">
        <v>0</v>
      </c>
      <c r="C155">
        <v>0</v>
      </c>
      <c r="D155">
        <v>0</v>
      </c>
    </row>
    <row r="156" spans="1:4">
      <c r="A156">
        <v>0</v>
      </c>
      <c r="B156">
        <v>0</v>
      </c>
      <c r="C156">
        <v>0</v>
      </c>
      <c r="D156">
        <v>0</v>
      </c>
    </row>
    <row r="157" spans="1:4">
      <c r="A157">
        <v>0</v>
      </c>
      <c r="B157">
        <v>0</v>
      </c>
      <c r="C157">
        <v>0</v>
      </c>
      <c r="D157">
        <v>0</v>
      </c>
    </row>
    <row r="158" spans="1:4">
      <c r="A158">
        <v>0</v>
      </c>
      <c r="B158">
        <v>0</v>
      </c>
      <c r="C158">
        <v>0</v>
      </c>
      <c r="D158">
        <v>0</v>
      </c>
    </row>
    <row r="159" spans="1:4">
      <c r="A159">
        <v>0</v>
      </c>
      <c r="B159">
        <v>0</v>
      </c>
      <c r="C159">
        <v>0</v>
      </c>
      <c r="D159">
        <v>0</v>
      </c>
    </row>
    <row r="160" spans="1:4">
      <c r="A160">
        <v>0</v>
      </c>
      <c r="B160">
        <v>0</v>
      </c>
      <c r="C160">
        <v>0</v>
      </c>
      <c r="D160">
        <v>0</v>
      </c>
    </row>
    <row r="161" spans="1:4">
      <c r="A161">
        <v>0</v>
      </c>
      <c r="B161">
        <v>0</v>
      </c>
      <c r="C161">
        <v>0</v>
      </c>
      <c r="D161">
        <v>0</v>
      </c>
    </row>
    <row r="162" spans="1:4">
      <c r="A162">
        <v>0</v>
      </c>
      <c r="B162">
        <v>0</v>
      </c>
      <c r="C162">
        <v>0</v>
      </c>
      <c r="D162">
        <v>0</v>
      </c>
    </row>
    <row r="163" spans="1:4">
      <c r="A163">
        <v>0</v>
      </c>
      <c r="B163">
        <v>0</v>
      </c>
      <c r="C163">
        <v>0</v>
      </c>
      <c r="D163">
        <v>0</v>
      </c>
    </row>
    <row r="164" spans="1:4">
      <c r="A164">
        <v>0</v>
      </c>
      <c r="B164">
        <v>0</v>
      </c>
      <c r="C164">
        <v>0</v>
      </c>
      <c r="D164">
        <v>0</v>
      </c>
    </row>
    <row r="165" spans="1:4">
      <c r="A165">
        <v>0</v>
      </c>
      <c r="B165">
        <v>0</v>
      </c>
      <c r="C165">
        <v>0</v>
      </c>
      <c r="D165">
        <v>0</v>
      </c>
    </row>
    <row r="166" spans="1:4">
      <c r="A166">
        <v>0</v>
      </c>
      <c r="B166">
        <v>0</v>
      </c>
      <c r="C166">
        <v>0</v>
      </c>
      <c r="D166">
        <v>0</v>
      </c>
    </row>
    <row r="167" spans="1:4">
      <c r="A167">
        <v>0</v>
      </c>
      <c r="B167">
        <v>0</v>
      </c>
      <c r="C167">
        <v>0</v>
      </c>
      <c r="D167">
        <v>0</v>
      </c>
    </row>
    <row r="168" spans="1:4">
      <c r="A168">
        <v>0</v>
      </c>
      <c r="B168">
        <v>0</v>
      </c>
      <c r="C168">
        <v>0</v>
      </c>
      <c r="D168">
        <v>0</v>
      </c>
    </row>
    <row r="169" spans="1:4">
      <c r="A169">
        <v>0</v>
      </c>
      <c r="B169">
        <v>0</v>
      </c>
      <c r="C169">
        <v>0</v>
      </c>
      <c r="D169">
        <v>0</v>
      </c>
    </row>
    <row r="170" spans="1:4">
      <c r="A170">
        <v>0</v>
      </c>
      <c r="B170">
        <v>0</v>
      </c>
      <c r="C170">
        <v>0</v>
      </c>
      <c r="D170">
        <v>0</v>
      </c>
    </row>
    <row r="171" spans="1:4">
      <c r="A171">
        <v>0</v>
      </c>
      <c r="B171">
        <v>0</v>
      </c>
      <c r="C171">
        <v>0</v>
      </c>
      <c r="D171">
        <v>0</v>
      </c>
    </row>
    <row r="172" spans="1:4">
      <c r="A172">
        <v>0</v>
      </c>
      <c r="B172">
        <v>0</v>
      </c>
      <c r="C172">
        <v>0</v>
      </c>
      <c r="D172">
        <v>0</v>
      </c>
    </row>
    <row r="173" spans="1:4">
      <c r="A173">
        <v>0</v>
      </c>
      <c r="B173">
        <v>0</v>
      </c>
      <c r="C173">
        <v>0</v>
      </c>
      <c r="D173">
        <v>0</v>
      </c>
    </row>
    <row r="174" spans="1:4">
      <c r="A174">
        <v>0</v>
      </c>
      <c r="B174">
        <v>0</v>
      </c>
      <c r="C174">
        <v>0</v>
      </c>
      <c r="D174">
        <v>0</v>
      </c>
    </row>
    <row r="175" spans="1:4">
      <c r="A175">
        <v>0</v>
      </c>
      <c r="B175">
        <v>0</v>
      </c>
      <c r="C175">
        <v>0</v>
      </c>
      <c r="D175">
        <v>0</v>
      </c>
    </row>
    <row r="176" spans="1:4">
      <c r="A176">
        <v>0</v>
      </c>
      <c r="B176">
        <v>0</v>
      </c>
      <c r="C176">
        <v>0</v>
      </c>
      <c r="D176">
        <v>0</v>
      </c>
    </row>
    <row r="177" spans="1:4">
      <c r="A177">
        <v>0</v>
      </c>
      <c r="B177">
        <v>0</v>
      </c>
      <c r="C177">
        <v>0</v>
      </c>
      <c r="D177">
        <v>0</v>
      </c>
    </row>
    <row r="178" spans="1:4">
      <c r="A178">
        <v>0</v>
      </c>
      <c r="B178">
        <v>0</v>
      </c>
      <c r="C178">
        <v>0</v>
      </c>
      <c r="D178">
        <v>0</v>
      </c>
    </row>
    <row r="179" spans="1:4">
      <c r="A179">
        <v>0</v>
      </c>
      <c r="B179">
        <v>0</v>
      </c>
      <c r="C179">
        <v>0</v>
      </c>
      <c r="D179">
        <v>0</v>
      </c>
    </row>
    <row r="180" spans="1:4">
      <c r="A180">
        <v>0</v>
      </c>
      <c r="B180">
        <v>0</v>
      </c>
      <c r="C180">
        <v>0</v>
      </c>
      <c r="D180">
        <v>0</v>
      </c>
    </row>
    <row r="181" spans="1:4">
      <c r="A181">
        <v>0</v>
      </c>
      <c r="B181">
        <v>0</v>
      </c>
      <c r="C181">
        <v>0</v>
      </c>
      <c r="D181">
        <v>0</v>
      </c>
    </row>
    <row r="182" spans="1:4">
      <c r="A182">
        <v>0</v>
      </c>
      <c r="B182">
        <v>0</v>
      </c>
      <c r="C182">
        <v>0</v>
      </c>
      <c r="D182">
        <v>0</v>
      </c>
    </row>
    <row r="183" spans="1:4">
      <c r="A183">
        <v>0</v>
      </c>
      <c r="B183">
        <v>0</v>
      </c>
      <c r="C183">
        <v>0</v>
      </c>
      <c r="D183">
        <v>0</v>
      </c>
    </row>
    <row r="184" spans="1:4">
      <c r="A184">
        <v>0</v>
      </c>
      <c r="B184">
        <v>0</v>
      </c>
      <c r="C184">
        <v>0</v>
      </c>
      <c r="D184">
        <v>0</v>
      </c>
    </row>
    <row r="185" spans="1:4">
      <c r="A185">
        <v>0</v>
      </c>
      <c r="B185">
        <v>0</v>
      </c>
      <c r="C185">
        <v>0</v>
      </c>
      <c r="D185">
        <v>0</v>
      </c>
    </row>
    <row r="186" spans="1:4">
      <c r="A186">
        <v>0</v>
      </c>
      <c r="B186">
        <v>0</v>
      </c>
      <c r="C186">
        <v>0</v>
      </c>
      <c r="D186">
        <v>0</v>
      </c>
    </row>
    <row r="187" spans="1:4">
      <c r="A187">
        <v>0</v>
      </c>
      <c r="B187">
        <v>0</v>
      </c>
      <c r="C187">
        <v>0</v>
      </c>
      <c r="D187">
        <v>0</v>
      </c>
    </row>
    <row r="188" spans="1:4">
      <c r="A188">
        <v>0</v>
      </c>
      <c r="B188">
        <v>0</v>
      </c>
      <c r="C188">
        <v>0</v>
      </c>
      <c r="D188">
        <v>0</v>
      </c>
    </row>
    <row r="189" spans="1:4">
      <c r="A189">
        <v>0</v>
      </c>
      <c r="B189">
        <v>0</v>
      </c>
      <c r="C189">
        <v>0</v>
      </c>
      <c r="D189">
        <v>0</v>
      </c>
    </row>
    <row r="190" spans="1:4">
      <c r="A190">
        <v>0</v>
      </c>
      <c r="B190">
        <v>0</v>
      </c>
      <c r="C190">
        <v>0</v>
      </c>
      <c r="D190">
        <v>0</v>
      </c>
    </row>
    <row r="191" spans="1:4">
      <c r="A191">
        <v>0</v>
      </c>
      <c r="B191">
        <v>0</v>
      </c>
      <c r="C191">
        <v>0</v>
      </c>
      <c r="D191">
        <v>0</v>
      </c>
    </row>
    <row r="192" spans="1:4">
      <c r="A192">
        <v>0</v>
      </c>
      <c r="B192">
        <v>0</v>
      </c>
      <c r="C192">
        <v>0</v>
      </c>
      <c r="D192">
        <v>0</v>
      </c>
    </row>
    <row r="193" spans="1:4">
      <c r="A193">
        <v>0</v>
      </c>
      <c r="B193">
        <v>0</v>
      </c>
      <c r="C193">
        <v>0</v>
      </c>
      <c r="D193">
        <v>0</v>
      </c>
    </row>
    <row r="194" spans="1:4">
      <c r="A194">
        <v>0</v>
      </c>
      <c r="B194">
        <v>0</v>
      </c>
      <c r="C194">
        <v>0</v>
      </c>
      <c r="D194">
        <v>0</v>
      </c>
    </row>
    <row r="195" spans="1:4">
      <c r="A195">
        <v>0</v>
      </c>
      <c r="B195">
        <v>0</v>
      </c>
      <c r="C195">
        <v>0</v>
      </c>
      <c r="D195">
        <v>0</v>
      </c>
    </row>
    <row r="196" spans="1:4">
      <c r="A196">
        <v>0</v>
      </c>
      <c r="B196">
        <v>0</v>
      </c>
      <c r="C196">
        <v>0</v>
      </c>
      <c r="D196">
        <v>0</v>
      </c>
    </row>
    <row r="197" spans="1:4">
      <c r="A197">
        <v>0</v>
      </c>
      <c r="B197">
        <v>0</v>
      </c>
      <c r="C197">
        <v>0</v>
      </c>
      <c r="D197">
        <v>0</v>
      </c>
    </row>
    <row r="198" spans="1:4">
      <c r="A198">
        <v>0</v>
      </c>
      <c r="B198">
        <v>0</v>
      </c>
      <c r="C198">
        <v>0</v>
      </c>
      <c r="D198">
        <v>0</v>
      </c>
    </row>
    <row r="199" spans="1:4">
      <c r="A199">
        <v>0</v>
      </c>
      <c r="B199">
        <v>0</v>
      </c>
      <c r="C199">
        <v>0</v>
      </c>
      <c r="D199">
        <v>0</v>
      </c>
    </row>
    <row r="200" spans="1:4">
      <c r="A200">
        <v>0</v>
      </c>
      <c r="B200">
        <v>0</v>
      </c>
      <c r="C200">
        <v>0</v>
      </c>
      <c r="D200">
        <v>0</v>
      </c>
    </row>
    <row r="201" spans="1:4">
      <c r="A201">
        <v>0</v>
      </c>
      <c r="B201">
        <v>0</v>
      </c>
      <c r="C201">
        <v>0</v>
      </c>
      <c r="D201">
        <v>0</v>
      </c>
    </row>
    <row r="202" spans="1:4">
      <c r="A202">
        <v>0</v>
      </c>
      <c r="B202">
        <v>0</v>
      </c>
      <c r="C202">
        <v>0</v>
      </c>
      <c r="D202">
        <v>0</v>
      </c>
    </row>
    <row r="203" spans="1:4">
      <c r="A203">
        <v>0</v>
      </c>
      <c r="B203">
        <v>0</v>
      </c>
      <c r="C203">
        <v>0</v>
      </c>
      <c r="D203">
        <v>0</v>
      </c>
    </row>
    <row r="204" spans="1:4">
      <c r="A204">
        <v>0</v>
      </c>
      <c r="B204">
        <v>0</v>
      </c>
      <c r="C204">
        <v>0</v>
      </c>
      <c r="D204">
        <v>0</v>
      </c>
    </row>
    <row r="205" spans="1:4">
      <c r="A205">
        <v>0</v>
      </c>
      <c r="B205">
        <v>0</v>
      </c>
      <c r="C205">
        <v>0</v>
      </c>
      <c r="D205">
        <v>0</v>
      </c>
    </row>
    <row r="206" spans="1:4">
      <c r="A206">
        <v>0</v>
      </c>
      <c r="B206">
        <v>0</v>
      </c>
      <c r="C206">
        <v>0</v>
      </c>
      <c r="D206">
        <v>0</v>
      </c>
    </row>
    <row r="207" spans="1:4">
      <c r="A207">
        <v>0</v>
      </c>
      <c r="B207">
        <v>0</v>
      </c>
      <c r="C207">
        <v>0</v>
      </c>
      <c r="D207">
        <v>0</v>
      </c>
    </row>
    <row r="208" spans="1:4">
      <c r="A208">
        <v>0</v>
      </c>
      <c r="B208">
        <v>0</v>
      </c>
      <c r="C208">
        <v>0</v>
      </c>
      <c r="D208">
        <v>0</v>
      </c>
    </row>
    <row r="209" spans="1:4">
      <c r="A209">
        <v>0</v>
      </c>
      <c r="B209">
        <v>0</v>
      </c>
      <c r="C209">
        <v>0</v>
      </c>
      <c r="D209">
        <v>0</v>
      </c>
    </row>
    <row r="210" spans="1:4">
      <c r="A210">
        <v>0</v>
      </c>
      <c r="B210">
        <v>0</v>
      </c>
      <c r="C210">
        <v>0</v>
      </c>
      <c r="D210">
        <v>0</v>
      </c>
    </row>
    <row r="211" spans="1:4">
      <c r="A211">
        <v>0</v>
      </c>
      <c r="B211">
        <v>0</v>
      </c>
      <c r="C211">
        <v>0</v>
      </c>
      <c r="D211">
        <v>0</v>
      </c>
    </row>
    <row r="212" spans="1:4">
      <c r="A212">
        <v>0</v>
      </c>
      <c r="B212">
        <v>0</v>
      </c>
      <c r="C212">
        <v>0</v>
      </c>
      <c r="D212">
        <v>0</v>
      </c>
    </row>
    <row r="213" spans="1:4">
      <c r="A213">
        <v>0</v>
      </c>
      <c r="B213">
        <v>0</v>
      </c>
      <c r="C213">
        <v>0</v>
      </c>
      <c r="D213">
        <v>0</v>
      </c>
    </row>
    <row r="214" spans="1:4">
      <c r="A214">
        <v>0</v>
      </c>
      <c r="B214">
        <v>0</v>
      </c>
      <c r="C214">
        <v>0</v>
      </c>
      <c r="D214">
        <v>0</v>
      </c>
    </row>
    <row r="215" spans="1:4">
      <c r="A215">
        <v>0</v>
      </c>
      <c r="B215">
        <v>0</v>
      </c>
      <c r="C215">
        <v>0</v>
      </c>
      <c r="D215">
        <v>0</v>
      </c>
    </row>
    <row r="216" spans="1:4">
      <c r="A216">
        <v>0</v>
      </c>
      <c r="B216">
        <v>0</v>
      </c>
      <c r="C216">
        <v>0</v>
      </c>
      <c r="D216">
        <v>0</v>
      </c>
    </row>
    <row r="217" spans="1:4">
      <c r="A217">
        <v>0</v>
      </c>
      <c r="B217">
        <v>0</v>
      </c>
      <c r="C217">
        <v>0</v>
      </c>
      <c r="D217">
        <v>0</v>
      </c>
    </row>
    <row r="218" spans="1:4">
      <c r="A218">
        <v>0</v>
      </c>
      <c r="B218">
        <v>0</v>
      </c>
      <c r="C218">
        <v>0</v>
      </c>
      <c r="D218">
        <v>0</v>
      </c>
    </row>
    <row r="219" spans="1:4">
      <c r="A219">
        <v>0</v>
      </c>
      <c r="B219">
        <v>0</v>
      </c>
      <c r="C219">
        <v>0</v>
      </c>
      <c r="D219">
        <v>0</v>
      </c>
    </row>
    <row r="220" spans="1:4">
      <c r="A220">
        <v>0</v>
      </c>
      <c r="B220">
        <v>0</v>
      </c>
      <c r="C220">
        <v>0</v>
      </c>
      <c r="D220">
        <v>0</v>
      </c>
    </row>
    <row r="221" spans="1:4">
      <c r="A221">
        <v>0</v>
      </c>
      <c r="B221">
        <v>0</v>
      </c>
      <c r="C221">
        <v>0</v>
      </c>
      <c r="D221">
        <v>0</v>
      </c>
    </row>
    <row r="222" spans="1:4">
      <c r="A222">
        <v>0</v>
      </c>
      <c r="B222">
        <v>0</v>
      </c>
      <c r="C222">
        <v>0</v>
      </c>
      <c r="D222">
        <v>0</v>
      </c>
    </row>
    <row r="223" spans="1:4">
      <c r="A223">
        <v>0</v>
      </c>
      <c r="B223">
        <v>0</v>
      </c>
      <c r="C223">
        <v>0</v>
      </c>
      <c r="D223">
        <v>0</v>
      </c>
    </row>
    <row r="224" spans="1:4">
      <c r="A224">
        <v>0</v>
      </c>
      <c r="B224">
        <v>0</v>
      </c>
      <c r="C224">
        <v>0</v>
      </c>
      <c r="D224">
        <v>0</v>
      </c>
    </row>
    <row r="225" spans="1:4">
      <c r="A225">
        <v>0</v>
      </c>
      <c r="B225">
        <v>0</v>
      </c>
      <c r="C225">
        <v>0</v>
      </c>
      <c r="D225">
        <v>0</v>
      </c>
    </row>
    <row r="226" spans="1:4">
      <c r="A226">
        <v>0</v>
      </c>
      <c r="B226">
        <v>0</v>
      </c>
      <c r="C226">
        <v>0</v>
      </c>
      <c r="D226">
        <v>0</v>
      </c>
    </row>
    <row r="227" spans="1:4">
      <c r="A227">
        <v>0</v>
      </c>
      <c r="B227">
        <v>0</v>
      </c>
      <c r="C227">
        <v>0</v>
      </c>
      <c r="D227">
        <v>0</v>
      </c>
    </row>
    <row r="228" spans="1:4">
      <c r="A228">
        <v>0</v>
      </c>
      <c r="B228">
        <v>0</v>
      </c>
      <c r="C228">
        <v>0</v>
      </c>
      <c r="D228">
        <v>0</v>
      </c>
    </row>
    <row r="229" spans="1:4">
      <c r="A229">
        <v>0</v>
      </c>
      <c r="B229">
        <v>0</v>
      </c>
      <c r="C229">
        <v>0</v>
      </c>
      <c r="D229">
        <v>0</v>
      </c>
    </row>
    <row r="230" spans="1:4">
      <c r="A230">
        <v>0</v>
      </c>
      <c r="B230">
        <v>0</v>
      </c>
      <c r="C230">
        <v>0</v>
      </c>
      <c r="D230">
        <v>0</v>
      </c>
    </row>
    <row r="231" spans="1:4">
      <c r="A231">
        <v>0</v>
      </c>
      <c r="B231">
        <v>0</v>
      </c>
      <c r="C231">
        <v>0</v>
      </c>
      <c r="D231">
        <v>0</v>
      </c>
    </row>
    <row r="232" spans="1:4">
      <c r="A232">
        <v>0</v>
      </c>
      <c r="B232">
        <v>0</v>
      </c>
      <c r="C232">
        <v>0</v>
      </c>
      <c r="D232">
        <v>0</v>
      </c>
    </row>
    <row r="233" spans="1:4">
      <c r="A233">
        <v>0</v>
      </c>
      <c r="B233">
        <v>0</v>
      </c>
      <c r="C233">
        <v>0</v>
      </c>
      <c r="D233">
        <v>0</v>
      </c>
    </row>
    <row r="234" spans="1:4">
      <c r="A234">
        <v>0</v>
      </c>
      <c r="B234">
        <v>0</v>
      </c>
      <c r="C234">
        <v>0</v>
      </c>
      <c r="D234">
        <v>0</v>
      </c>
    </row>
    <row r="235" spans="1:4">
      <c r="A235">
        <v>0</v>
      </c>
      <c r="B235">
        <v>0</v>
      </c>
      <c r="C235">
        <v>0</v>
      </c>
      <c r="D235">
        <v>0</v>
      </c>
    </row>
    <row r="236" spans="1:4">
      <c r="A236">
        <v>0</v>
      </c>
      <c r="B236">
        <v>0</v>
      </c>
      <c r="C236">
        <v>0</v>
      </c>
      <c r="D236">
        <v>0</v>
      </c>
    </row>
    <row r="237" spans="1:4">
      <c r="A237">
        <v>0</v>
      </c>
      <c r="B237">
        <v>0</v>
      </c>
      <c r="C237">
        <v>0</v>
      </c>
      <c r="D237">
        <v>0</v>
      </c>
    </row>
    <row r="238" spans="1:4">
      <c r="A238">
        <v>0</v>
      </c>
      <c r="B238">
        <v>0</v>
      </c>
      <c r="C238">
        <v>0</v>
      </c>
      <c r="D238">
        <v>0</v>
      </c>
    </row>
    <row r="239" spans="1:4">
      <c r="A239">
        <v>0</v>
      </c>
      <c r="B239">
        <v>0</v>
      </c>
      <c r="C239">
        <v>0</v>
      </c>
      <c r="D239">
        <v>0</v>
      </c>
    </row>
    <row r="240" spans="1:4">
      <c r="A240">
        <v>0</v>
      </c>
      <c r="B240">
        <v>0</v>
      </c>
      <c r="C240">
        <v>0</v>
      </c>
      <c r="D240">
        <v>0</v>
      </c>
    </row>
    <row r="241" spans="1:4">
      <c r="A241">
        <v>0</v>
      </c>
      <c r="B241">
        <v>0</v>
      </c>
      <c r="C241">
        <v>0</v>
      </c>
      <c r="D241">
        <v>0</v>
      </c>
    </row>
    <row r="242" spans="1:4">
      <c r="A242">
        <v>0</v>
      </c>
      <c r="B242">
        <v>0</v>
      </c>
      <c r="C242">
        <v>0</v>
      </c>
      <c r="D242">
        <v>0</v>
      </c>
    </row>
    <row r="243" spans="1:4">
      <c r="A243">
        <v>0</v>
      </c>
      <c r="B243">
        <v>0</v>
      </c>
      <c r="C243">
        <v>0</v>
      </c>
      <c r="D243">
        <v>0</v>
      </c>
    </row>
    <row r="244" spans="1:4">
      <c r="A244">
        <v>0</v>
      </c>
      <c r="B244">
        <v>0</v>
      </c>
      <c r="C244">
        <v>0</v>
      </c>
      <c r="D244">
        <v>0</v>
      </c>
    </row>
    <row r="245" spans="1:4">
      <c r="A245">
        <v>0</v>
      </c>
      <c r="B245">
        <v>0</v>
      </c>
      <c r="C245">
        <v>0</v>
      </c>
      <c r="D245">
        <v>0</v>
      </c>
    </row>
    <row r="246" spans="1:4">
      <c r="A246">
        <v>0</v>
      </c>
      <c r="B246">
        <v>0</v>
      </c>
      <c r="C246">
        <v>0</v>
      </c>
      <c r="D246">
        <v>0</v>
      </c>
    </row>
    <row r="247" spans="1:4">
      <c r="A247">
        <v>0</v>
      </c>
      <c r="B247">
        <v>0</v>
      </c>
      <c r="C247">
        <v>0</v>
      </c>
      <c r="D247">
        <v>0</v>
      </c>
    </row>
    <row r="248" spans="1:4">
      <c r="A248">
        <v>0</v>
      </c>
      <c r="B248">
        <v>0</v>
      </c>
      <c r="C248">
        <v>0</v>
      </c>
      <c r="D248">
        <v>0</v>
      </c>
    </row>
    <row r="249" spans="1:4">
      <c r="A249">
        <v>0</v>
      </c>
      <c r="B249">
        <v>0</v>
      </c>
      <c r="C249">
        <v>0</v>
      </c>
      <c r="D249">
        <v>0</v>
      </c>
    </row>
    <row r="250" spans="1:4">
      <c r="A250">
        <v>0</v>
      </c>
      <c r="B250">
        <v>0</v>
      </c>
      <c r="C250">
        <v>0</v>
      </c>
      <c r="D250">
        <v>0</v>
      </c>
    </row>
    <row r="251" spans="1:4">
      <c r="A251">
        <v>0</v>
      </c>
      <c r="B251">
        <v>0</v>
      </c>
      <c r="C251">
        <v>0</v>
      </c>
      <c r="D251">
        <v>0</v>
      </c>
    </row>
    <row r="252" spans="1:4">
      <c r="A252">
        <v>0</v>
      </c>
      <c r="B252">
        <v>0</v>
      </c>
      <c r="C252">
        <v>0</v>
      </c>
      <c r="D252">
        <v>0</v>
      </c>
    </row>
    <row r="253" spans="1:4">
      <c r="A253">
        <v>0</v>
      </c>
      <c r="B253">
        <v>0</v>
      </c>
      <c r="C253">
        <v>0</v>
      </c>
      <c r="D253">
        <v>0</v>
      </c>
    </row>
    <row r="254" spans="1:4">
      <c r="A254">
        <v>0</v>
      </c>
      <c r="B254">
        <v>0</v>
      </c>
      <c r="C254">
        <v>0</v>
      </c>
      <c r="D254">
        <v>0</v>
      </c>
    </row>
    <row r="255" spans="1:4">
      <c r="A255">
        <v>0</v>
      </c>
      <c r="B255">
        <v>0</v>
      </c>
      <c r="C255">
        <v>0</v>
      </c>
      <c r="D255">
        <v>0</v>
      </c>
    </row>
    <row r="256" spans="1:4">
      <c r="A256">
        <v>0</v>
      </c>
      <c r="B256">
        <v>0</v>
      </c>
      <c r="C256">
        <v>0</v>
      </c>
      <c r="D256">
        <v>0</v>
      </c>
    </row>
    <row r="257" spans="1:4">
      <c r="A257">
        <v>0</v>
      </c>
      <c r="B257">
        <v>0</v>
      </c>
      <c r="C257">
        <v>0</v>
      </c>
      <c r="D257">
        <v>0</v>
      </c>
    </row>
    <row r="258" spans="1:4">
      <c r="A258">
        <v>0</v>
      </c>
      <c r="B258">
        <v>0</v>
      </c>
      <c r="C258">
        <v>0</v>
      </c>
      <c r="D258">
        <v>0</v>
      </c>
    </row>
    <row r="259" spans="1:4">
      <c r="A259">
        <v>0</v>
      </c>
      <c r="B259">
        <v>0</v>
      </c>
      <c r="C259">
        <v>0</v>
      </c>
      <c r="D259">
        <v>0</v>
      </c>
    </row>
    <row r="260" spans="1:4">
      <c r="A260">
        <v>0</v>
      </c>
      <c r="B260">
        <v>0</v>
      </c>
      <c r="C260">
        <v>0</v>
      </c>
      <c r="D260">
        <v>0</v>
      </c>
    </row>
    <row r="261" spans="1:4">
      <c r="A261">
        <v>0</v>
      </c>
      <c r="B261">
        <v>0</v>
      </c>
      <c r="C261">
        <v>0</v>
      </c>
      <c r="D261">
        <v>0</v>
      </c>
    </row>
    <row r="262" spans="1:4">
      <c r="A262">
        <v>0</v>
      </c>
      <c r="B262">
        <v>0</v>
      </c>
      <c r="C262">
        <v>0</v>
      </c>
      <c r="D262">
        <v>0</v>
      </c>
    </row>
    <row r="263" spans="1:4">
      <c r="A263">
        <v>0</v>
      </c>
      <c r="B263">
        <v>0</v>
      </c>
      <c r="C263">
        <v>0</v>
      </c>
      <c r="D263">
        <v>0</v>
      </c>
    </row>
    <row r="264" spans="1:4">
      <c r="A264">
        <v>0</v>
      </c>
      <c r="B264">
        <v>0</v>
      </c>
      <c r="C264">
        <v>0</v>
      </c>
      <c r="D264">
        <v>0</v>
      </c>
    </row>
    <row r="265" spans="1:4">
      <c r="A265">
        <v>0</v>
      </c>
      <c r="B265">
        <v>0</v>
      </c>
      <c r="C265">
        <v>0</v>
      </c>
      <c r="D265">
        <v>0</v>
      </c>
    </row>
    <row r="266" spans="1:4">
      <c r="A266">
        <v>0</v>
      </c>
      <c r="B266">
        <v>0</v>
      </c>
      <c r="C266">
        <v>0</v>
      </c>
      <c r="D266">
        <v>0</v>
      </c>
    </row>
    <row r="267" spans="1:4">
      <c r="A267">
        <v>0</v>
      </c>
      <c r="B267">
        <v>0</v>
      </c>
      <c r="C267">
        <v>0</v>
      </c>
      <c r="D267">
        <v>0</v>
      </c>
    </row>
    <row r="268" spans="1:4">
      <c r="A268">
        <v>0</v>
      </c>
      <c r="B268">
        <v>0</v>
      </c>
      <c r="C268">
        <v>0</v>
      </c>
      <c r="D268">
        <v>0</v>
      </c>
    </row>
    <row r="269" spans="1:4">
      <c r="A269">
        <v>0</v>
      </c>
      <c r="B269">
        <v>0</v>
      </c>
      <c r="C269">
        <v>0</v>
      </c>
      <c r="D269">
        <v>0</v>
      </c>
    </row>
    <row r="270" spans="1:4">
      <c r="A270">
        <v>0</v>
      </c>
      <c r="B270">
        <v>0</v>
      </c>
      <c r="C270">
        <v>0</v>
      </c>
      <c r="D270">
        <v>0</v>
      </c>
    </row>
    <row r="271" spans="1:4">
      <c r="A271">
        <v>0</v>
      </c>
      <c r="B271">
        <v>0</v>
      </c>
      <c r="C271">
        <v>0</v>
      </c>
      <c r="D271">
        <v>0</v>
      </c>
    </row>
    <row r="272" spans="1:4">
      <c r="A272">
        <v>0</v>
      </c>
      <c r="B272">
        <v>0</v>
      </c>
      <c r="C272">
        <v>0</v>
      </c>
      <c r="D272">
        <v>0</v>
      </c>
    </row>
    <row r="273" spans="1:4">
      <c r="A273">
        <v>0</v>
      </c>
      <c r="B273">
        <v>0</v>
      </c>
      <c r="C273">
        <v>0</v>
      </c>
      <c r="D273">
        <v>0</v>
      </c>
    </row>
    <row r="274" spans="1:4">
      <c r="A274">
        <v>0</v>
      </c>
      <c r="B274">
        <v>0</v>
      </c>
      <c r="C274">
        <v>0</v>
      </c>
      <c r="D274">
        <v>0</v>
      </c>
    </row>
    <row r="275" spans="1:4">
      <c r="A275">
        <v>0</v>
      </c>
      <c r="B275">
        <v>0</v>
      </c>
      <c r="C275">
        <v>0</v>
      </c>
      <c r="D275">
        <v>0</v>
      </c>
    </row>
    <row r="276" spans="1:4">
      <c r="A276">
        <v>0</v>
      </c>
      <c r="B276">
        <v>0</v>
      </c>
      <c r="C276">
        <v>0</v>
      </c>
      <c r="D276">
        <v>0</v>
      </c>
    </row>
    <row r="277" spans="1:4">
      <c r="A277">
        <v>0</v>
      </c>
      <c r="B277">
        <v>0</v>
      </c>
      <c r="C277">
        <v>0</v>
      </c>
      <c r="D277">
        <v>0</v>
      </c>
    </row>
    <row r="278" spans="1:4">
      <c r="A278">
        <v>0</v>
      </c>
      <c r="B278">
        <v>0</v>
      </c>
      <c r="C278">
        <v>0</v>
      </c>
      <c r="D278">
        <v>0</v>
      </c>
    </row>
    <row r="279" spans="1:4">
      <c r="A279">
        <v>0</v>
      </c>
      <c r="B279">
        <v>0</v>
      </c>
      <c r="C279">
        <v>0</v>
      </c>
      <c r="D279">
        <v>0</v>
      </c>
    </row>
    <row r="280" spans="1:4">
      <c r="A280">
        <v>0</v>
      </c>
      <c r="B280">
        <v>0</v>
      </c>
      <c r="C280">
        <v>0</v>
      </c>
      <c r="D280">
        <v>0</v>
      </c>
    </row>
    <row r="281" spans="1:4">
      <c r="A281">
        <v>0</v>
      </c>
      <c r="B281">
        <v>0</v>
      </c>
      <c r="C281">
        <v>0</v>
      </c>
      <c r="D281">
        <v>0</v>
      </c>
    </row>
    <row r="282" spans="1:4">
      <c r="A282">
        <v>0</v>
      </c>
      <c r="B282">
        <v>0</v>
      </c>
      <c r="C282">
        <v>0</v>
      </c>
      <c r="D282">
        <v>0</v>
      </c>
    </row>
    <row r="283" spans="1:4">
      <c r="A283">
        <v>0</v>
      </c>
      <c r="B283">
        <v>0</v>
      </c>
      <c r="C283">
        <v>0</v>
      </c>
      <c r="D283">
        <v>0</v>
      </c>
    </row>
    <row r="284" spans="1:4">
      <c r="A284">
        <v>0</v>
      </c>
      <c r="B284">
        <v>0</v>
      </c>
      <c r="C284">
        <v>0</v>
      </c>
      <c r="D284">
        <v>0</v>
      </c>
    </row>
    <row r="285" spans="1:4">
      <c r="A285">
        <v>0</v>
      </c>
      <c r="B285">
        <v>0</v>
      </c>
      <c r="C285">
        <v>0</v>
      </c>
      <c r="D285">
        <v>0</v>
      </c>
    </row>
    <row r="286" spans="1:4">
      <c r="A286">
        <v>0</v>
      </c>
      <c r="B286">
        <v>0</v>
      </c>
      <c r="C286">
        <v>0</v>
      </c>
      <c r="D286">
        <v>0</v>
      </c>
    </row>
    <row r="287" spans="1:4">
      <c r="A287">
        <v>0</v>
      </c>
      <c r="B287">
        <v>0</v>
      </c>
      <c r="C287">
        <v>0</v>
      </c>
      <c r="D287">
        <v>0</v>
      </c>
    </row>
    <row r="288" spans="1:4">
      <c r="A288">
        <v>0</v>
      </c>
      <c r="B288">
        <v>0</v>
      </c>
      <c r="C288">
        <v>0</v>
      </c>
      <c r="D288">
        <v>0</v>
      </c>
    </row>
    <row r="289" spans="1:4">
      <c r="A289">
        <v>0</v>
      </c>
      <c r="B289">
        <v>0</v>
      </c>
      <c r="C289">
        <v>0</v>
      </c>
      <c r="D289">
        <v>0</v>
      </c>
    </row>
    <row r="290" spans="1:4">
      <c r="A290">
        <v>0</v>
      </c>
      <c r="B290">
        <v>0</v>
      </c>
      <c r="C290">
        <v>0</v>
      </c>
      <c r="D290">
        <v>0</v>
      </c>
    </row>
    <row r="291" spans="1:4">
      <c r="A291">
        <v>0</v>
      </c>
      <c r="B291">
        <v>0</v>
      </c>
      <c r="C291">
        <v>0</v>
      </c>
      <c r="D291">
        <v>0</v>
      </c>
    </row>
    <row r="292" spans="1:4">
      <c r="A292">
        <v>0</v>
      </c>
      <c r="B292">
        <v>0</v>
      </c>
      <c r="C292">
        <v>0</v>
      </c>
      <c r="D292">
        <v>0</v>
      </c>
    </row>
    <row r="293" spans="1:4">
      <c r="A293">
        <v>0</v>
      </c>
      <c r="B293">
        <v>0</v>
      </c>
      <c r="C293">
        <v>0</v>
      </c>
      <c r="D293">
        <v>0</v>
      </c>
    </row>
    <row r="294" spans="1:4">
      <c r="A294">
        <v>0</v>
      </c>
      <c r="B294">
        <v>0</v>
      </c>
      <c r="C294">
        <v>0</v>
      </c>
      <c r="D294">
        <v>0</v>
      </c>
    </row>
    <row r="295" spans="1:4">
      <c r="A295">
        <v>0</v>
      </c>
      <c r="B295">
        <v>0</v>
      </c>
      <c r="C295">
        <v>0</v>
      </c>
      <c r="D295">
        <v>0</v>
      </c>
    </row>
    <row r="296" spans="1:4">
      <c r="A296">
        <v>0</v>
      </c>
      <c r="B296">
        <v>0</v>
      </c>
      <c r="C296">
        <v>0</v>
      </c>
      <c r="D296">
        <v>0</v>
      </c>
    </row>
    <row r="297" spans="1:4">
      <c r="A297">
        <v>0</v>
      </c>
      <c r="B297">
        <v>0</v>
      </c>
      <c r="C297">
        <v>0</v>
      </c>
      <c r="D297">
        <v>0</v>
      </c>
    </row>
    <row r="298" spans="1:4">
      <c r="A298">
        <v>0</v>
      </c>
      <c r="B298">
        <v>0</v>
      </c>
      <c r="C298">
        <v>0</v>
      </c>
      <c r="D298">
        <v>0</v>
      </c>
    </row>
    <row r="299" spans="1:4">
      <c r="A299">
        <v>0</v>
      </c>
      <c r="B299">
        <v>0</v>
      </c>
      <c r="C299">
        <v>0</v>
      </c>
      <c r="D299">
        <v>0</v>
      </c>
    </row>
    <row r="300" spans="1:4">
      <c r="A300">
        <v>0</v>
      </c>
      <c r="B300">
        <v>0</v>
      </c>
      <c r="C300">
        <v>0</v>
      </c>
      <c r="D300">
        <v>0</v>
      </c>
    </row>
    <row r="301" spans="1:4">
      <c r="A301">
        <v>0</v>
      </c>
      <c r="B301">
        <v>0</v>
      </c>
      <c r="C301">
        <v>0</v>
      </c>
      <c r="D301">
        <v>0</v>
      </c>
    </row>
    <row r="302" spans="1:4">
      <c r="A302">
        <v>0</v>
      </c>
      <c r="B302">
        <v>0</v>
      </c>
      <c r="C302">
        <v>0</v>
      </c>
      <c r="D302">
        <v>0</v>
      </c>
    </row>
    <row r="303" spans="1:4">
      <c r="A303">
        <v>0</v>
      </c>
      <c r="B303">
        <v>0</v>
      </c>
      <c r="C303">
        <v>0</v>
      </c>
      <c r="D303">
        <v>0</v>
      </c>
    </row>
    <row r="304" spans="1:4">
      <c r="A304">
        <v>0</v>
      </c>
      <c r="B304">
        <v>0</v>
      </c>
      <c r="C304">
        <v>0</v>
      </c>
      <c r="D304">
        <v>0</v>
      </c>
    </row>
    <row r="305" spans="1:4">
      <c r="A305">
        <v>0</v>
      </c>
      <c r="B305">
        <v>0</v>
      </c>
      <c r="C305">
        <v>0</v>
      </c>
      <c r="D305">
        <v>0</v>
      </c>
    </row>
    <row r="306" spans="1:4">
      <c r="A306">
        <v>0</v>
      </c>
      <c r="B306">
        <v>0</v>
      </c>
      <c r="C306">
        <v>0</v>
      </c>
      <c r="D306">
        <v>0</v>
      </c>
    </row>
    <row r="307" spans="1:4">
      <c r="A307">
        <v>0</v>
      </c>
      <c r="B307">
        <v>0</v>
      </c>
      <c r="C307">
        <v>0</v>
      </c>
      <c r="D307">
        <v>0</v>
      </c>
    </row>
    <row r="308" spans="1:4">
      <c r="A308">
        <v>0</v>
      </c>
      <c r="B308">
        <v>0</v>
      </c>
      <c r="C308">
        <v>0</v>
      </c>
      <c r="D308">
        <v>0</v>
      </c>
    </row>
    <row r="309" spans="1:4">
      <c r="A309">
        <v>0</v>
      </c>
      <c r="B309">
        <v>0</v>
      </c>
      <c r="C309">
        <v>0</v>
      </c>
      <c r="D309">
        <v>0</v>
      </c>
    </row>
    <row r="310" spans="1:4">
      <c r="A310">
        <v>0</v>
      </c>
      <c r="B310">
        <v>0</v>
      </c>
      <c r="C310">
        <v>0</v>
      </c>
      <c r="D310">
        <v>0</v>
      </c>
    </row>
    <row r="311" spans="1:4">
      <c r="A311">
        <v>0</v>
      </c>
      <c r="B311">
        <v>0</v>
      </c>
      <c r="C311">
        <v>0</v>
      </c>
      <c r="D311">
        <v>0</v>
      </c>
    </row>
    <row r="312" spans="1:4">
      <c r="A312">
        <v>0</v>
      </c>
      <c r="B312">
        <v>0</v>
      </c>
      <c r="C312">
        <v>0</v>
      </c>
      <c r="D312">
        <v>0</v>
      </c>
    </row>
    <row r="313" spans="1:4">
      <c r="A313">
        <v>0</v>
      </c>
      <c r="B313">
        <v>0</v>
      </c>
      <c r="C313">
        <v>0</v>
      </c>
      <c r="D313">
        <v>0</v>
      </c>
    </row>
    <row r="314" spans="1:4">
      <c r="A314">
        <v>0</v>
      </c>
      <c r="B314">
        <v>0</v>
      </c>
      <c r="C314">
        <v>0</v>
      </c>
      <c r="D314">
        <v>0</v>
      </c>
    </row>
    <row r="315" spans="1:4">
      <c r="A315">
        <v>0</v>
      </c>
      <c r="B315">
        <v>0</v>
      </c>
      <c r="C315">
        <v>0</v>
      </c>
      <c r="D315">
        <v>0</v>
      </c>
    </row>
    <row r="316" spans="1:4">
      <c r="A316">
        <v>0</v>
      </c>
      <c r="B316">
        <v>0</v>
      </c>
      <c r="C316">
        <v>0</v>
      </c>
      <c r="D316">
        <v>0</v>
      </c>
    </row>
    <row r="317" spans="1:4">
      <c r="A317">
        <v>0</v>
      </c>
      <c r="B317">
        <v>0</v>
      </c>
      <c r="C317">
        <v>0</v>
      </c>
      <c r="D317">
        <v>0</v>
      </c>
    </row>
    <row r="318" spans="1:4">
      <c r="A318">
        <v>0</v>
      </c>
      <c r="B318">
        <v>0</v>
      </c>
      <c r="C318">
        <v>0</v>
      </c>
      <c r="D318">
        <v>0</v>
      </c>
    </row>
    <row r="319" spans="1:4">
      <c r="A319">
        <v>0</v>
      </c>
      <c r="B319">
        <v>0</v>
      </c>
      <c r="C319">
        <v>0</v>
      </c>
      <c r="D319">
        <v>0</v>
      </c>
    </row>
    <row r="320" spans="1:4">
      <c r="A320">
        <v>0</v>
      </c>
      <c r="B320">
        <v>0</v>
      </c>
      <c r="C320">
        <v>0</v>
      </c>
      <c r="D320">
        <v>0</v>
      </c>
    </row>
    <row r="321" spans="1:4">
      <c r="A321">
        <v>0</v>
      </c>
      <c r="B321">
        <v>0</v>
      </c>
      <c r="C321">
        <v>0</v>
      </c>
      <c r="D321">
        <v>0</v>
      </c>
    </row>
    <row r="322" spans="1:4">
      <c r="A322">
        <v>0</v>
      </c>
      <c r="B322">
        <v>0</v>
      </c>
      <c r="C322">
        <v>0</v>
      </c>
      <c r="D322">
        <v>0</v>
      </c>
    </row>
    <row r="323" spans="1:4">
      <c r="A323">
        <v>0</v>
      </c>
      <c r="B323">
        <v>0</v>
      </c>
      <c r="C323">
        <v>0</v>
      </c>
      <c r="D323">
        <v>0</v>
      </c>
    </row>
    <row r="324" spans="1:4">
      <c r="A324">
        <v>0</v>
      </c>
      <c r="B324">
        <v>0</v>
      </c>
      <c r="C324">
        <v>0</v>
      </c>
      <c r="D324">
        <v>0</v>
      </c>
    </row>
    <row r="325" spans="1:4">
      <c r="A325">
        <v>0</v>
      </c>
      <c r="B325">
        <v>0</v>
      </c>
      <c r="C325">
        <v>0</v>
      </c>
      <c r="D325">
        <v>0</v>
      </c>
    </row>
    <row r="326" spans="1:4">
      <c r="A326">
        <v>0</v>
      </c>
      <c r="B326">
        <v>0</v>
      </c>
      <c r="C326">
        <v>0</v>
      </c>
      <c r="D326">
        <v>0</v>
      </c>
    </row>
    <row r="327" spans="1:4">
      <c r="A327">
        <v>0</v>
      </c>
      <c r="B327">
        <v>0</v>
      </c>
      <c r="C327">
        <v>0</v>
      </c>
      <c r="D327">
        <v>0</v>
      </c>
    </row>
    <row r="328" spans="1:4">
      <c r="A328">
        <v>0</v>
      </c>
      <c r="B328">
        <v>0</v>
      </c>
      <c r="C328">
        <v>0</v>
      </c>
      <c r="D328">
        <v>0</v>
      </c>
    </row>
    <row r="329" spans="1:4">
      <c r="A329">
        <v>0</v>
      </c>
      <c r="B329">
        <v>0</v>
      </c>
      <c r="C329">
        <v>0</v>
      </c>
      <c r="D329">
        <v>0</v>
      </c>
    </row>
    <row r="330" spans="1:4">
      <c r="A330">
        <v>0</v>
      </c>
      <c r="B330">
        <v>0</v>
      </c>
      <c r="C330">
        <v>0</v>
      </c>
      <c r="D330">
        <v>0</v>
      </c>
    </row>
    <row r="331" spans="1:4">
      <c r="A331">
        <v>0</v>
      </c>
      <c r="B331">
        <v>0</v>
      </c>
      <c r="C331">
        <v>0</v>
      </c>
      <c r="D331">
        <v>0</v>
      </c>
    </row>
  </sheetData>
  <sheetProtection password="E4E4" sheet="1" objects="1" scenarios="1"/>
  <mergeCells count="133">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 ref="F53:P53"/>
    <mergeCell ref="F54:P54"/>
    <mergeCell ref="F55:P55"/>
    <mergeCell ref="F56:P56"/>
    <mergeCell ref="F57:P57"/>
    <mergeCell ref="F58:P58"/>
    <mergeCell ref="F59:P59"/>
    <mergeCell ref="F60:P60"/>
    <mergeCell ref="F61:P61"/>
    <mergeCell ref="F62:P62"/>
    <mergeCell ref="F63:P63"/>
    <mergeCell ref="F64:P64"/>
    <mergeCell ref="F65:P65"/>
    <mergeCell ref="F66:P66"/>
    <mergeCell ref="F67:P67"/>
    <mergeCell ref="F68:P68"/>
    <mergeCell ref="F69:P69"/>
    <mergeCell ref="F70:P70"/>
    <mergeCell ref="F71:P71"/>
    <mergeCell ref="F72:P72"/>
    <mergeCell ref="F73:P73"/>
    <mergeCell ref="F74:P74"/>
    <mergeCell ref="F75:P75"/>
    <mergeCell ref="F76:P76"/>
    <mergeCell ref="F77:P77"/>
    <mergeCell ref="F78:P78"/>
    <mergeCell ref="F79:P79"/>
    <mergeCell ref="F80:P80"/>
    <mergeCell ref="F81:P81"/>
    <mergeCell ref="F82:P82"/>
    <mergeCell ref="F83:P83"/>
    <mergeCell ref="F84:P84"/>
    <mergeCell ref="F85:P85"/>
    <mergeCell ref="F86:P86"/>
    <mergeCell ref="F87:P87"/>
    <mergeCell ref="F88:P88"/>
    <mergeCell ref="F89:P89"/>
    <mergeCell ref="F90:P90"/>
    <mergeCell ref="F91:P91"/>
    <mergeCell ref="F92:P92"/>
    <mergeCell ref="F93:P93"/>
    <mergeCell ref="F94:P94"/>
    <mergeCell ref="F95:P95"/>
    <mergeCell ref="F96:P96"/>
    <mergeCell ref="F97:P97"/>
    <mergeCell ref="F98:P98"/>
    <mergeCell ref="F99:P99"/>
    <mergeCell ref="F100:P100"/>
    <mergeCell ref="F101:P101"/>
    <mergeCell ref="F102:P102"/>
    <mergeCell ref="F103:P103"/>
    <mergeCell ref="F104:P104"/>
    <mergeCell ref="F105:P105"/>
    <mergeCell ref="F106:P106"/>
    <mergeCell ref="F107:P107"/>
    <mergeCell ref="F108:P108"/>
    <mergeCell ref="F109:P109"/>
    <mergeCell ref="F110:P110"/>
    <mergeCell ref="F111:P111"/>
    <mergeCell ref="F112:P112"/>
    <mergeCell ref="F113:P113"/>
    <mergeCell ref="F114:P114"/>
    <mergeCell ref="F115:P115"/>
    <mergeCell ref="F116:P116"/>
    <mergeCell ref="F117:P117"/>
    <mergeCell ref="F118:P118"/>
    <mergeCell ref="F119:P119"/>
    <mergeCell ref="F120:P120"/>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V331"/>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766</v>
      </c>
    </row>
    <row r="2" spans="1:22">
      <c r="F2" s="15" t="s">
        <v>39</v>
      </c>
      <c r="G2" s="16" t="s">
        <v>40</v>
      </c>
      <c r="H2" s="16"/>
      <c r="I2" s="16"/>
      <c r="J2" s="16" t="s">
        <v>41</v>
      </c>
      <c r="K2" s="16"/>
      <c r="L2" s="16"/>
      <c r="M2" s="16" t="s">
        <v>42</v>
      </c>
      <c r="N2" s="16"/>
      <c r="O2" s="16"/>
      <c r="U2" t="s">
        <v>755</v>
      </c>
      <c r="V2">
        <f>CountIf(data_summary_by_question!D2:D321,$V$1)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767</v>
      </c>
      <c r="G10" s="20"/>
      <c r="H10" s="20"/>
      <c r="I10" s="20"/>
      <c r="J10" s="20"/>
      <c r="K10" s="20"/>
      <c r="L10" s="20"/>
      <c r="M10" s="20"/>
      <c r="N10" s="20"/>
      <c r="O10" s="20"/>
      <c r="P10" s="20"/>
    </row>
    <row r="11" spans="1:22" ht="48" customHeight="1">
      <c r="A11" cm="1">
        <f t="array" ref="A11:D331">_xlfn._xlws.FILTER(data_summary_by_question!A2:D321,data_summary_by_question!D2:D321=$V$1)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ht="48" customHeight="1">
      <c r="A53">
        <v>0</v>
      </c>
      <c r="B53">
        <v>0</v>
      </c>
      <c r="C53">
        <v>0</v>
      </c>
      <c r="D53">
        <v>0</v>
      </c>
      <c r="F53" s="27">
        <f>IF(U6,IF(V2&lt;=1,"", IF(ISNA(C53),"",A53&amp; " - " &amp; C53)),"")</f>
        <v>0</v>
      </c>
      <c r="G53" s="27"/>
      <c r="H53" s="27"/>
      <c r="I53" s="27"/>
      <c r="J53" s="27"/>
      <c r="K53" s="27"/>
      <c r="L53" s="27"/>
      <c r="M53" s="27"/>
      <c r="N53" s="27"/>
      <c r="O53" s="27"/>
      <c r="P53" s="27"/>
    </row>
    <row r="54" spans="1:16" ht="48" customHeight="1">
      <c r="A54">
        <v>0</v>
      </c>
      <c r="B54">
        <v>0</v>
      </c>
      <c r="C54">
        <v>0</v>
      </c>
      <c r="D54">
        <v>0</v>
      </c>
      <c r="F54" s="27">
        <f>IF(U6,IF(V2&lt;=1,"", IF(ISNA(C54),"",A54&amp; " - " &amp; C54)),"")</f>
        <v>0</v>
      </c>
      <c r="G54" s="27"/>
      <c r="H54" s="27"/>
      <c r="I54" s="27"/>
      <c r="J54" s="27"/>
      <c r="K54" s="27"/>
      <c r="L54" s="27"/>
      <c r="M54" s="27"/>
      <c r="N54" s="27"/>
      <c r="O54" s="27"/>
      <c r="P54" s="27"/>
    </row>
    <row r="55" spans="1:16" ht="48" customHeight="1">
      <c r="A55">
        <v>0</v>
      </c>
      <c r="B55">
        <v>0</v>
      </c>
      <c r="C55">
        <v>0</v>
      </c>
      <c r="D55">
        <v>0</v>
      </c>
      <c r="F55" s="27">
        <f>IF(U6,IF(V2&lt;=1,"", IF(ISNA(C55),"",A55&amp; " - " &amp; C55)),"")</f>
        <v>0</v>
      </c>
      <c r="G55" s="27"/>
      <c r="H55" s="27"/>
      <c r="I55" s="27"/>
      <c r="J55" s="27"/>
      <c r="K55" s="27"/>
      <c r="L55" s="27"/>
      <c r="M55" s="27"/>
      <c r="N55" s="27"/>
      <c r="O55" s="27"/>
      <c r="P55" s="27"/>
    </row>
    <row r="56" spans="1:16" ht="48" customHeight="1">
      <c r="A56">
        <v>0</v>
      </c>
      <c r="B56">
        <v>0</v>
      </c>
      <c r="C56">
        <v>0</v>
      </c>
      <c r="D56">
        <v>0</v>
      </c>
      <c r="F56" s="27">
        <f>IF(U6,IF(V2&lt;=1,"", IF(ISNA(C56),"",A56&amp; " - " &amp; C56)),"")</f>
        <v>0</v>
      </c>
      <c r="G56" s="27"/>
      <c r="H56" s="27"/>
      <c r="I56" s="27"/>
      <c r="J56" s="27"/>
      <c r="K56" s="27"/>
      <c r="L56" s="27"/>
      <c r="M56" s="27"/>
      <c r="N56" s="27"/>
      <c r="O56" s="27"/>
      <c r="P56" s="27"/>
    </row>
    <row r="57" spans="1:16" ht="48" customHeight="1">
      <c r="A57">
        <v>0</v>
      </c>
      <c r="B57">
        <v>0</v>
      </c>
      <c r="C57">
        <v>0</v>
      </c>
      <c r="D57">
        <v>0</v>
      </c>
      <c r="F57" s="27">
        <f>IF(U6,IF(V2&lt;=1,"", IF(ISNA(C57),"",A57&amp; " - " &amp; C57)),"")</f>
        <v>0</v>
      </c>
      <c r="G57" s="27"/>
      <c r="H57" s="27"/>
      <c r="I57" s="27"/>
      <c r="J57" s="27"/>
      <c r="K57" s="27"/>
      <c r="L57" s="27"/>
      <c r="M57" s="27"/>
      <c r="N57" s="27"/>
      <c r="O57" s="27"/>
      <c r="P57" s="27"/>
    </row>
    <row r="58" spans="1:16" ht="48" customHeight="1">
      <c r="A58">
        <v>0</v>
      </c>
      <c r="B58">
        <v>0</v>
      </c>
      <c r="C58">
        <v>0</v>
      </c>
      <c r="D58">
        <v>0</v>
      </c>
      <c r="F58" s="27">
        <f>IF(U6,IF(V2&lt;=1,"", IF(ISNA(C58),"",A58&amp; " - " &amp; C58)),"")</f>
        <v>0</v>
      </c>
      <c r="G58" s="27"/>
      <c r="H58" s="27"/>
      <c r="I58" s="27"/>
      <c r="J58" s="27"/>
      <c r="K58" s="27"/>
      <c r="L58" s="27"/>
      <c r="M58" s="27"/>
      <c r="N58" s="27"/>
      <c r="O58" s="27"/>
      <c r="P58" s="27"/>
    </row>
    <row r="59" spans="1:16" ht="48" customHeight="1">
      <c r="A59">
        <v>0</v>
      </c>
      <c r="B59">
        <v>0</v>
      </c>
      <c r="C59">
        <v>0</v>
      </c>
      <c r="D59">
        <v>0</v>
      </c>
      <c r="F59" s="27">
        <f>IF(U6,IF(V2&lt;=1,"", IF(ISNA(C59),"",A59&amp; " - " &amp; C59)),"")</f>
        <v>0</v>
      </c>
      <c r="G59" s="27"/>
      <c r="H59" s="27"/>
      <c r="I59" s="27"/>
      <c r="J59" s="27"/>
      <c r="K59" s="27"/>
      <c r="L59" s="27"/>
      <c r="M59" s="27"/>
      <c r="N59" s="27"/>
      <c r="O59" s="27"/>
      <c r="P59" s="27"/>
    </row>
    <row r="60" spans="1:16" ht="48" customHeight="1">
      <c r="A60">
        <v>0</v>
      </c>
      <c r="B60">
        <v>0</v>
      </c>
      <c r="C60">
        <v>0</v>
      </c>
      <c r="D60">
        <v>0</v>
      </c>
      <c r="F60" s="27">
        <f>IF(U6,IF(V2&lt;=1,"", IF(ISNA(C60),"",A60&amp; " - " &amp; C60)),"")</f>
        <v>0</v>
      </c>
      <c r="G60" s="27"/>
      <c r="H60" s="27"/>
      <c r="I60" s="27"/>
      <c r="J60" s="27"/>
      <c r="K60" s="27"/>
      <c r="L60" s="27"/>
      <c r="M60" s="27"/>
      <c r="N60" s="27"/>
      <c r="O60" s="27"/>
      <c r="P60" s="27"/>
    </row>
    <row r="61" spans="1:16" ht="48" customHeight="1">
      <c r="A61">
        <v>0</v>
      </c>
      <c r="B61">
        <v>0</v>
      </c>
      <c r="C61">
        <v>0</v>
      </c>
      <c r="D61">
        <v>0</v>
      </c>
      <c r="F61" s="27">
        <f>IF(U6,IF(V2&lt;=1,"", IF(ISNA(C61),"",A61&amp; " - " &amp; C61)),"")</f>
        <v>0</v>
      </c>
      <c r="G61" s="27"/>
      <c r="H61" s="27"/>
      <c r="I61" s="27"/>
      <c r="J61" s="27"/>
      <c r="K61" s="27"/>
      <c r="L61" s="27"/>
      <c r="M61" s="27"/>
      <c r="N61" s="27"/>
      <c r="O61" s="27"/>
      <c r="P61" s="27"/>
    </row>
    <row r="62" spans="1:16" ht="48" customHeight="1">
      <c r="A62">
        <v>0</v>
      </c>
      <c r="B62">
        <v>0</v>
      </c>
      <c r="C62">
        <v>0</v>
      </c>
      <c r="D62">
        <v>0</v>
      </c>
      <c r="F62" s="27">
        <f>IF(U6,IF(V2&lt;=1,"", IF(ISNA(C62),"",A62&amp; " - " &amp; C62)),"")</f>
        <v>0</v>
      </c>
      <c r="G62" s="27"/>
      <c r="H62" s="27"/>
      <c r="I62" s="27"/>
      <c r="J62" s="27"/>
      <c r="K62" s="27"/>
      <c r="L62" s="27"/>
      <c r="M62" s="27"/>
      <c r="N62" s="27"/>
      <c r="O62" s="27"/>
      <c r="P62" s="27"/>
    </row>
    <row r="63" spans="1:16" ht="48" customHeight="1">
      <c r="A63">
        <v>0</v>
      </c>
      <c r="B63">
        <v>0</v>
      </c>
      <c r="C63">
        <v>0</v>
      </c>
      <c r="D63">
        <v>0</v>
      </c>
      <c r="F63" s="27">
        <f>IF(U6,IF(V2&lt;=1,"", IF(ISNA(C63),"",A63&amp; " - " &amp; C63)),"")</f>
        <v>0</v>
      </c>
      <c r="G63" s="27"/>
      <c r="H63" s="27"/>
      <c r="I63" s="27"/>
      <c r="J63" s="27"/>
      <c r="K63" s="27"/>
      <c r="L63" s="27"/>
      <c r="M63" s="27"/>
      <c r="N63" s="27"/>
      <c r="O63" s="27"/>
      <c r="P63" s="27"/>
    </row>
    <row r="64" spans="1:16" ht="48" customHeight="1">
      <c r="A64">
        <v>0</v>
      </c>
      <c r="B64">
        <v>0</v>
      </c>
      <c r="C64">
        <v>0</v>
      </c>
      <c r="D64">
        <v>0</v>
      </c>
      <c r="F64" s="27">
        <f>IF(U6,IF(V2&lt;=1,"", IF(ISNA(C64),"",A64&amp; " - " &amp; C64)),"")</f>
        <v>0</v>
      </c>
      <c r="G64" s="27"/>
      <c r="H64" s="27"/>
      <c r="I64" s="27"/>
      <c r="J64" s="27"/>
      <c r="K64" s="27"/>
      <c r="L64" s="27"/>
      <c r="M64" s="27"/>
      <c r="N64" s="27"/>
      <c r="O64" s="27"/>
      <c r="P64" s="27"/>
    </row>
    <row r="65" spans="1:16" ht="48" customHeight="1">
      <c r="A65">
        <v>0</v>
      </c>
      <c r="B65">
        <v>0</v>
      </c>
      <c r="C65">
        <v>0</v>
      </c>
      <c r="D65">
        <v>0</v>
      </c>
      <c r="F65" s="27">
        <f>IF(U6,IF(V2&lt;=1,"", IF(ISNA(C65),"",A65&amp; " - " &amp; C65)),"")</f>
        <v>0</v>
      </c>
      <c r="G65" s="27"/>
      <c r="H65" s="27"/>
      <c r="I65" s="27"/>
      <c r="J65" s="27"/>
      <c r="K65" s="27"/>
      <c r="L65" s="27"/>
      <c r="M65" s="27"/>
      <c r="N65" s="27"/>
      <c r="O65" s="27"/>
      <c r="P65" s="27"/>
    </row>
    <row r="66" spans="1:16" ht="48" customHeight="1">
      <c r="A66">
        <v>0</v>
      </c>
      <c r="B66">
        <v>0</v>
      </c>
      <c r="C66">
        <v>0</v>
      </c>
      <c r="D66">
        <v>0</v>
      </c>
      <c r="F66" s="27">
        <f>IF(U6,IF(V2&lt;=1,"", IF(ISNA(C66),"",A66&amp; " - " &amp; C66)),"")</f>
        <v>0</v>
      </c>
      <c r="G66" s="27"/>
      <c r="H66" s="27"/>
      <c r="I66" s="27"/>
      <c r="J66" s="27"/>
      <c r="K66" s="27"/>
      <c r="L66" s="27"/>
      <c r="M66" s="27"/>
      <c r="N66" s="27"/>
      <c r="O66" s="27"/>
      <c r="P66" s="27"/>
    </row>
    <row r="67" spans="1:16" ht="48" customHeight="1">
      <c r="A67">
        <v>0</v>
      </c>
      <c r="B67">
        <v>0</v>
      </c>
      <c r="C67">
        <v>0</v>
      </c>
      <c r="D67">
        <v>0</v>
      </c>
      <c r="F67" s="27">
        <f>IF(U6,IF(V2&lt;=1,"", IF(ISNA(C67),"",A67&amp; " - " &amp; C67)),"")</f>
        <v>0</v>
      </c>
      <c r="G67" s="27"/>
      <c r="H67" s="27"/>
      <c r="I67" s="27"/>
      <c r="J67" s="27"/>
      <c r="K67" s="27"/>
      <c r="L67" s="27"/>
      <c r="M67" s="27"/>
      <c r="N67" s="27"/>
      <c r="O67" s="27"/>
      <c r="P67" s="27"/>
    </row>
    <row r="68" spans="1:16" ht="48" customHeight="1">
      <c r="A68">
        <v>0</v>
      </c>
      <c r="B68">
        <v>0</v>
      </c>
      <c r="C68">
        <v>0</v>
      </c>
      <c r="D68">
        <v>0</v>
      </c>
      <c r="F68" s="27">
        <f>IF(U6,IF(V2&lt;=1,"", IF(ISNA(C68),"",A68&amp; " - " &amp; C68)),"")</f>
        <v>0</v>
      </c>
      <c r="G68" s="27"/>
      <c r="H68" s="27"/>
      <c r="I68" s="27"/>
      <c r="J68" s="27"/>
      <c r="K68" s="27"/>
      <c r="L68" s="27"/>
      <c r="M68" s="27"/>
      <c r="N68" s="27"/>
      <c r="O68" s="27"/>
      <c r="P68" s="27"/>
    </row>
    <row r="69" spans="1:16" ht="48" customHeight="1">
      <c r="A69">
        <v>0</v>
      </c>
      <c r="B69">
        <v>0</v>
      </c>
      <c r="C69">
        <v>0</v>
      </c>
      <c r="D69">
        <v>0</v>
      </c>
      <c r="F69" s="27">
        <f>IF(U6,IF(V2&lt;=1,"", IF(ISNA(C69),"",A69&amp; " - " &amp; C69)),"")</f>
        <v>0</v>
      </c>
      <c r="G69" s="27"/>
      <c r="H69" s="27"/>
      <c r="I69" s="27"/>
      <c r="J69" s="27"/>
      <c r="K69" s="27"/>
      <c r="L69" s="27"/>
      <c r="M69" s="27"/>
      <c r="N69" s="27"/>
      <c r="O69" s="27"/>
      <c r="P69" s="27"/>
    </row>
    <row r="70" spans="1:16" ht="48" customHeight="1">
      <c r="A70">
        <v>0</v>
      </c>
      <c r="B70">
        <v>0</v>
      </c>
      <c r="C70">
        <v>0</v>
      </c>
      <c r="D70">
        <v>0</v>
      </c>
      <c r="F70" s="27">
        <f>IF(U6,IF(V2&lt;=1,"", IF(ISNA(C70),"",A70&amp; " - " &amp; C70)),"")</f>
        <v>0</v>
      </c>
      <c r="G70" s="27"/>
      <c r="H70" s="27"/>
      <c r="I70" s="27"/>
      <c r="J70" s="27"/>
      <c r="K70" s="27"/>
      <c r="L70" s="27"/>
      <c r="M70" s="27"/>
      <c r="N70" s="27"/>
      <c r="O70" s="27"/>
      <c r="P70" s="27"/>
    </row>
    <row r="71" spans="1:16" ht="48" customHeight="1">
      <c r="A71">
        <v>0</v>
      </c>
      <c r="B71">
        <v>0</v>
      </c>
      <c r="C71">
        <v>0</v>
      </c>
      <c r="D71">
        <v>0</v>
      </c>
      <c r="F71" s="27">
        <f>IF(U6,IF(V2&lt;=1,"", IF(ISNA(C71),"",A71&amp; " - " &amp; C71)),"")</f>
        <v>0</v>
      </c>
      <c r="G71" s="27"/>
      <c r="H71" s="27"/>
      <c r="I71" s="27"/>
      <c r="J71" s="27"/>
      <c r="K71" s="27"/>
      <c r="L71" s="27"/>
      <c r="M71" s="27"/>
      <c r="N71" s="27"/>
      <c r="O71" s="27"/>
      <c r="P71" s="27"/>
    </row>
    <row r="72" spans="1:16" ht="48" customHeight="1">
      <c r="A72">
        <v>0</v>
      </c>
      <c r="B72">
        <v>0</v>
      </c>
      <c r="C72">
        <v>0</v>
      </c>
      <c r="D72">
        <v>0</v>
      </c>
      <c r="F72" s="27">
        <f>IF(U6,IF(V2&lt;=1,"", IF(ISNA(C72),"",A72&amp; " - " &amp; C72)),"")</f>
        <v>0</v>
      </c>
      <c r="G72" s="27"/>
      <c r="H72" s="27"/>
      <c r="I72" s="27"/>
      <c r="J72" s="27"/>
      <c r="K72" s="27"/>
      <c r="L72" s="27"/>
      <c r="M72" s="27"/>
      <c r="N72" s="27"/>
      <c r="O72" s="27"/>
      <c r="P72" s="27"/>
    </row>
    <row r="73" spans="1:16" ht="48" customHeight="1">
      <c r="A73">
        <v>0</v>
      </c>
      <c r="B73">
        <v>0</v>
      </c>
      <c r="C73">
        <v>0</v>
      </c>
      <c r="D73">
        <v>0</v>
      </c>
      <c r="F73" s="27">
        <f>IF(U6,IF(V2&lt;=1,"", IF(ISNA(C73),"",A73&amp; " - " &amp; C73)),"")</f>
        <v>0</v>
      </c>
      <c r="G73" s="27"/>
      <c r="H73" s="27"/>
      <c r="I73" s="27"/>
      <c r="J73" s="27"/>
      <c r="K73" s="27"/>
      <c r="L73" s="27"/>
      <c r="M73" s="27"/>
      <c r="N73" s="27"/>
      <c r="O73" s="27"/>
      <c r="P73" s="27"/>
    </row>
    <row r="74" spans="1:16" ht="48" customHeight="1">
      <c r="A74">
        <v>0</v>
      </c>
      <c r="B74">
        <v>0</v>
      </c>
      <c r="C74">
        <v>0</v>
      </c>
      <c r="D74">
        <v>0</v>
      </c>
      <c r="F74" s="27">
        <f>IF(U6,IF(V2&lt;=1,"", IF(ISNA(C74),"",A74&amp; " - " &amp; C74)),"")</f>
        <v>0</v>
      </c>
      <c r="G74" s="27"/>
      <c r="H74" s="27"/>
      <c r="I74" s="27"/>
      <c r="J74" s="27"/>
      <c r="K74" s="27"/>
      <c r="L74" s="27"/>
      <c r="M74" s="27"/>
      <c r="N74" s="27"/>
      <c r="O74" s="27"/>
      <c r="P74" s="27"/>
    </row>
    <row r="75" spans="1:16" ht="48" customHeight="1">
      <c r="A75">
        <v>0</v>
      </c>
      <c r="B75">
        <v>0</v>
      </c>
      <c r="C75">
        <v>0</v>
      </c>
      <c r="D75">
        <v>0</v>
      </c>
      <c r="F75" s="27">
        <f>IF(U6,IF(V2&lt;=1,"", IF(ISNA(C75),"",A75&amp; " - " &amp; C75)),"")</f>
        <v>0</v>
      </c>
      <c r="G75" s="27"/>
      <c r="H75" s="27"/>
      <c r="I75" s="27"/>
      <c r="J75" s="27"/>
      <c r="K75" s="27"/>
      <c r="L75" s="27"/>
      <c r="M75" s="27"/>
      <c r="N75" s="27"/>
      <c r="O75" s="27"/>
      <c r="P75" s="27"/>
    </row>
    <row r="76" spans="1:16" ht="48" customHeight="1">
      <c r="A76">
        <v>0</v>
      </c>
      <c r="B76">
        <v>0</v>
      </c>
      <c r="C76">
        <v>0</v>
      </c>
      <c r="D76">
        <v>0</v>
      </c>
      <c r="F76" s="27">
        <f>IF(U6,IF(V2&lt;=1,"", IF(ISNA(C76),"",A76&amp; " - " &amp; C76)),"")</f>
        <v>0</v>
      </c>
      <c r="G76" s="27"/>
      <c r="H76" s="27"/>
      <c r="I76" s="27"/>
      <c r="J76" s="27"/>
      <c r="K76" s="27"/>
      <c r="L76" s="27"/>
      <c r="M76" s="27"/>
      <c r="N76" s="27"/>
      <c r="O76" s="27"/>
      <c r="P76" s="27"/>
    </row>
    <row r="77" spans="1:16" ht="48" customHeight="1">
      <c r="A77">
        <v>0</v>
      </c>
      <c r="B77">
        <v>0</v>
      </c>
      <c r="C77">
        <v>0</v>
      </c>
      <c r="D77">
        <v>0</v>
      </c>
      <c r="F77" s="27">
        <f>IF(U6,IF(V2&lt;=1,"", IF(ISNA(C77),"",A77&amp; " - " &amp; C77)),"")</f>
        <v>0</v>
      </c>
      <c r="G77" s="27"/>
      <c r="H77" s="27"/>
      <c r="I77" s="27"/>
      <c r="J77" s="27"/>
      <c r="K77" s="27"/>
      <c r="L77" s="27"/>
      <c r="M77" s="27"/>
      <c r="N77" s="27"/>
      <c r="O77" s="27"/>
      <c r="P77" s="27"/>
    </row>
    <row r="78" spans="1:16" ht="48" customHeight="1">
      <c r="A78">
        <v>0</v>
      </c>
      <c r="B78">
        <v>0</v>
      </c>
      <c r="C78">
        <v>0</v>
      </c>
      <c r="D78">
        <v>0</v>
      </c>
      <c r="F78" s="27">
        <f>IF(U6,IF(V2&lt;=1,"", IF(ISNA(C78),"",A78&amp; " - " &amp; C78)),"")</f>
        <v>0</v>
      </c>
      <c r="G78" s="27"/>
      <c r="H78" s="27"/>
      <c r="I78" s="27"/>
      <c r="J78" s="27"/>
      <c r="K78" s="27"/>
      <c r="L78" s="27"/>
      <c r="M78" s="27"/>
      <c r="N78" s="27"/>
      <c r="O78" s="27"/>
      <c r="P78" s="27"/>
    </row>
    <row r="79" spans="1:16" ht="48" customHeight="1">
      <c r="A79">
        <v>0</v>
      </c>
      <c r="B79">
        <v>0</v>
      </c>
      <c r="C79">
        <v>0</v>
      </c>
      <c r="D79">
        <v>0</v>
      </c>
      <c r="F79" s="27">
        <f>IF(U6,IF(V2&lt;=1,"", IF(ISNA(C79),"",A79&amp; " - " &amp; C79)),"")</f>
        <v>0</v>
      </c>
      <c r="G79" s="27"/>
      <c r="H79" s="27"/>
      <c r="I79" s="27"/>
      <c r="J79" s="27"/>
      <c r="K79" s="27"/>
      <c r="L79" s="27"/>
      <c r="M79" s="27"/>
      <c r="N79" s="27"/>
      <c r="O79" s="27"/>
      <c r="P79" s="27"/>
    </row>
    <row r="80" spans="1:16" ht="48" customHeight="1">
      <c r="A80">
        <v>0</v>
      </c>
      <c r="B80">
        <v>0</v>
      </c>
      <c r="C80">
        <v>0</v>
      </c>
      <c r="D80">
        <v>0</v>
      </c>
      <c r="F80" s="27">
        <f>IF(U6,IF(V2&lt;=1,"", IF(ISNA(C80),"",A80&amp; " - " &amp; C80)),"")</f>
        <v>0</v>
      </c>
      <c r="G80" s="27"/>
      <c r="H80" s="27"/>
      <c r="I80" s="27"/>
      <c r="J80" s="27"/>
      <c r="K80" s="27"/>
      <c r="L80" s="27"/>
      <c r="M80" s="27"/>
      <c r="N80" s="27"/>
      <c r="O80" s="27"/>
      <c r="P80" s="27"/>
    </row>
    <row r="81" spans="1:16" ht="48" customHeight="1">
      <c r="A81">
        <v>0</v>
      </c>
      <c r="B81">
        <v>0</v>
      </c>
      <c r="C81">
        <v>0</v>
      </c>
      <c r="D81">
        <v>0</v>
      </c>
      <c r="F81" s="27">
        <f>IF(U6,IF(V2&lt;=1,"", IF(ISNA(C81),"",A81&amp; " - " &amp; C81)),"")</f>
        <v>0</v>
      </c>
      <c r="G81" s="27"/>
      <c r="H81" s="27"/>
      <c r="I81" s="27"/>
      <c r="J81" s="27"/>
      <c r="K81" s="27"/>
      <c r="L81" s="27"/>
      <c r="M81" s="27"/>
      <c r="N81" s="27"/>
      <c r="O81" s="27"/>
      <c r="P81" s="27"/>
    </row>
    <row r="82" spans="1:16" ht="48" customHeight="1">
      <c r="A82">
        <v>0</v>
      </c>
      <c r="B82">
        <v>0</v>
      </c>
      <c r="C82">
        <v>0</v>
      </c>
      <c r="D82">
        <v>0</v>
      </c>
      <c r="F82" s="27">
        <f>IF(U6,IF(V2&lt;=1,"", IF(ISNA(C82),"",A82&amp; " - " &amp; C82)),"")</f>
        <v>0</v>
      </c>
      <c r="G82" s="27"/>
      <c r="H82" s="27"/>
      <c r="I82" s="27"/>
      <c r="J82" s="27"/>
      <c r="K82" s="27"/>
      <c r="L82" s="27"/>
      <c r="M82" s="27"/>
      <c r="N82" s="27"/>
      <c r="O82" s="27"/>
      <c r="P82" s="27"/>
    </row>
    <row r="83" spans="1:16" ht="48" customHeight="1">
      <c r="A83">
        <v>0</v>
      </c>
      <c r="B83">
        <v>0</v>
      </c>
      <c r="C83">
        <v>0</v>
      </c>
      <c r="D83">
        <v>0</v>
      </c>
      <c r="F83" s="27">
        <f>IF(U6,IF(V2&lt;=1,"", IF(ISNA(C83),"",A83&amp; " - " &amp; C83)),"")</f>
        <v>0</v>
      </c>
      <c r="G83" s="27"/>
      <c r="H83" s="27"/>
      <c r="I83" s="27"/>
      <c r="J83" s="27"/>
      <c r="K83" s="27"/>
      <c r="L83" s="27"/>
      <c r="M83" s="27"/>
      <c r="N83" s="27"/>
      <c r="O83" s="27"/>
      <c r="P83" s="27"/>
    </row>
    <row r="84" spans="1:16" ht="48" customHeight="1">
      <c r="A84">
        <v>0</v>
      </c>
      <c r="B84">
        <v>0</v>
      </c>
      <c r="C84">
        <v>0</v>
      </c>
      <c r="D84">
        <v>0</v>
      </c>
      <c r="F84" s="27">
        <f>IF(U6,IF(V2&lt;=1,"", IF(ISNA(C84),"",A84&amp; " - " &amp; C84)),"")</f>
        <v>0</v>
      </c>
      <c r="G84" s="27"/>
      <c r="H84" s="27"/>
      <c r="I84" s="27"/>
      <c r="J84" s="27"/>
      <c r="K84" s="27"/>
      <c r="L84" s="27"/>
      <c r="M84" s="27"/>
      <c r="N84" s="27"/>
      <c r="O84" s="27"/>
      <c r="P84" s="27"/>
    </row>
    <row r="85" spans="1:16" ht="48" customHeight="1">
      <c r="A85">
        <v>0</v>
      </c>
      <c r="B85">
        <v>0</v>
      </c>
      <c r="C85">
        <v>0</v>
      </c>
      <c r="D85">
        <v>0</v>
      </c>
      <c r="F85" s="27">
        <f>IF(U6,IF(V2&lt;=1,"", IF(ISNA(C85),"",A85&amp; " - " &amp; C85)),"")</f>
        <v>0</v>
      </c>
      <c r="G85" s="27"/>
      <c r="H85" s="27"/>
      <c r="I85" s="27"/>
      <c r="J85" s="27"/>
      <c r="K85" s="27"/>
      <c r="L85" s="27"/>
      <c r="M85" s="27"/>
      <c r="N85" s="27"/>
      <c r="O85" s="27"/>
      <c r="P85" s="27"/>
    </row>
    <row r="86" spans="1:16" ht="48" customHeight="1">
      <c r="A86">
        <v>0</v>
      </c>
      <c r="B86">
        <v>0</v>
      </c>
      <c r="C86">
        <v>0</v>
      </c>
      <c r="D86">
        <v>0</v>
      </c>
      <c r="F86" s="27">
        <f>IF(U6,IF(V2&lt;=1,"", IF(ISNA(C86),"",A86&amp; " - " &amp; C86)),"")</f>
        <v>0</v>
      </c>
      <c r="G86" s="27"/>
      <c r="H86" s="27"/>
      <c r="I86" s="27"/>
      <c r="J86" s="27"/>
      <c r="K86" s="27"/>
      <c r="L86" s="27"/>
      <c r="M86" s="27"/>
      <c r="N86" s="27"/>
      <c r="O86" s="27"/>
      <c r="P86" s="27"/>
    </row>
    <row r="87" spans="1:16" ht="48" customHeight="1">
      <c r="A87">
        <v>0</v>
      </c>
      <c r="B87">
        <v>0</v>
      </c>
      <c r="C87">
        <v>0</v>
      </c>
      <c r="D87">
        <v>0</v>
      </c>
      <c r="F87" s="27">
        <f>IF(U6,IF(V2&lt;=1,"", IF(ISNA(C87),"",A87&amp; " - " &amp; C87)),"")</f>
        <v>0</v>
      </c>
      <c r="G87" s="27"/>
      <c r="H87" s="27"/>
      <c r="I87" s="27"/>
      <c r="J87" s="27"/>
      <c r="K87" s="27"/>
      <c r="L87" s="27"/>
      <c r="M87" s="27"/>
      <c r="N87" s="27"/>
      <c r="O87" s="27"/>
      <c r="P87" s="27"/>
    </row>
    <row r="88" spans="1:16" ht="48" customHeight="1">
      <c r="A88">
        <v>0</v>
      </c>
      <c r="B88">
        <v>0</v>
      </c>
      <c r="C88">
        <v>0</v>
      </c>
      <c r="D88">
        <v>0</v>
      </c>
      <c r="F88" s="27">
        <f>IF(U6,IF(V2&lt;=1,"", IF(ISNA(C88),"",A88&amp; " - " &amp; C88)),"")</f>
        <v>0</v>
      </c>
      <c r="G88" s="27"/>
      <c r="H88" s="27"/>
      <c r="I88" s="27"/>
      <c r="J88" s="27"/>
      <c r="K88" s="27"/>
      <c r="L88" s="27"/>
      <c r="M88" s="27"/>
      <c r="N88" s="27"/>
      <c r="O88" s="27"/>
      <c r="P88" s="27"/>
    </row>
    <row r="89" spans="1:16" ht="48" customHeight="1">
      <c r="A89">
        <v>0</v>
      </c>
      <c r="B89">
        <v>0</v>
      </c>
      <c r="C89">
        <v>0</v>
      </c>
      <c r="D89">
        <v>0</v>
      </c>
      <c r="F89" s="27">
        <f>IF(U6,IF(V2&lt;=1,"", IF(ISNA(C89),"",A89&amp; " - " &amp; C89)),"")</f>
        <v>0</v>
      </c>
      <c r="G89" s="27"/>
      <c r="H89" s="27"/>
      <c r="I89" s="27"/>
      <c r="J89" s="27"/>
      <c r="K89" s="27"/>
      <c r="L89" s="27"/>
      <c r="M89" s="27"/>
      <c r="N89" s="27"/>
      <c r="O89" s="27"/>
      <c r="P89" s="27"/>
    </row>
    <row r="90" spans="1:16" ht="48" customHeight="1">
      <c r="A90">
        <v>0</v>
      </c>
      <c r="B90">
        <v>0</v>
      </c>
      <c r="C90">
        <v>0</v>
      </c>
      <c r="D90">
        <v>0</v>
      </c>
      <c r="F90" s="27">
        <f>IF(U6,IF(V2&lt;=1,"", IF(ISNA(C90),"",A90&amp; " - " &amp; C90)),"")</f>
        <v>0</v>
      </c>
      <c r="G90" s="27"/>
      <c r="H90" s="27"/>
      <c r="I90" s="27"/>
      <c r="J90" s="27"/>
      <c r="K90" s="27"/>
      <c r="L90" s="27"/>
      <c r="M90" s="27"/>
      <c r="N90" s="27"/>
      <c r="O90" s="27"/>
      <c r="P90" s="27"/>
    </row>
    <row r="91" spans="1:16" ht="48" customHeight="1">
      <c r="A91">
        <v>0</v>
      </c>
      <c r="B91">
        <v>0</v>
      </c>
      <c r="C91">
        <v>0</v>
      </c>
      <c r="D91">
        <v>0</v>
      </c>
      <c r="F91" s="27">
        <f>IF(U6,IF(V2&lt;=1,"", IF(ISNA(C91),"",A91&amp; " - " &amp; C91)),"")</f>
        <v>0</v>
      </c>
      <c r="G91" s="27"/>
      <c r="H91" s="27"/>
      <c r="I91" s="27"/>
      <c r="J91" s="27"/>
      <c r="K91" s="27"/>
      <c r="L91" s="27"/>
      <c r="M91" s="27"/>
      <c r="N91" s="27"/>
      <c r="O91" s="27"/>
      <c r="P91" s="27"/>
    </row>
    <row r="92" spans="1:16" ht="48" customHeight="1">
      <c r="A92">
        <v>0</v>
      </c>
      <c r="B92">
        <v>0</v>
      </c>
      <c r="C92">
        <v>0</v>
      </c>
      <c r="D92">
        <v>0</v>
      </c>
      <c r="F92" s="27">
        <f>IF(U6,IF(V2&lt;=1,"", IF(ISNA(C92),"",A92&amp; " - " &amp; C92)),"")</f>
        <v>0</v>
      </c>
      <c r="G92" s="27"/>
      <c r="H92" s="27"/>
      <c r="I92" s="27"/>
      <c r="J92" s="27"/>
      <c r="K92" s="27"/>
      <c r="L92" s="27"/>
      <c r="M92" s="27"/>
      <c r="N92" s="27"/>
      <c r="O92" s="27"/>
      <c r="P92" s="27"/>
    </row>
    <row r="93" spans="1:16" ht="48" customHeight="1">
      <c r="A93">
        <v>0</v>
      </c>
      <c r="B93">
        <v>0</v>
      </c>
      <c r="C93">
        <v>0</v>
      </c>
      <c r="D93">
        <v>0</v>
      </c>
      <c r="F93" s="27">
        <f>IF(U6,IF(V2&lt;=1,"", IF(ISNA(C93),"",A93&amp; " - " &amp; C93)),"")</f>
        <v>0</v>
      </c>
      <c r="G93" s="27"/>
      <c r="H93" s="27"/>
      <c r="I93" s="27"/>
      <c r="J93" s="27"/>
      <c r="K93" s="27"/>
      <c r="L93" s="27"/>
      <c r="M93" s="27"/>
      <c r="N93" s="27"/>
      <c r="O93" s="27"/>
      <c r="P93" s="27"/>
    </row>
    <row r="94" spans="1:16" ht="48" customHeight="1">
      <c r="A94">
        <v>0</v>
      </c>
      <c r="B94">
        <v>0</v>
      </c>
      <c r="C94">
        <v>0</v>
      </c>
      <c r="D94">
        <v>0</v>
      </c>
      <c r="F94" s="27">
        <f>IF(U6,IF(V2&lt;=1,"", IF(ISNA(C94),"",A94&amp; " - " &amp; C94)),"")</f>
        <v>0</v>
      </c>
      <c r="G94" s="27"/>
      <c r="H94" s="27"/>
      <c r="I94" s="27"/>
      <c r="J94" s="27"/>
      <c r="K94" s="27"/>
      <c r="L94" s="27"/>
      <c r="M94" s="27"/>
      <c r="N94" s="27"/>
      <c r="O94" s="27"/>
      <c r="P94" s="27"/>
    </row>
    <row r="95" spans="1:16" ht="48" customHeight="1">
      <c r="A95">
        <v>0</v>
      </c>
      <c r="B95">
        <v>0</v>
      </c>
      <c r="C95">
        <v>0</v>
      </c>
      <c r="D95">
        <v>0</v>
      </c>
      <c r="F95" s="27">
        <f>IF(U6,IF(V2&lt;=1,"", IF(ISNA(C95),"",A95&amp; " - " &amp; C95)),"")</f>
        <v>0</v>
      </c>
      <c r="G95" s="27"/>
      <c r="H95" s="27"/>
      <c r="I95" s="27"/>
      <c r="J95" s="27"/>
      <c r="K95" s="27"/>
      <c r="L95" s="27"/>
      <c r="M95" s="27"/>
      <c r="N95" s="27"/>
      <c r="O95" s="27"/>
      <c r="P95" s="27"/>
    </row>
    <row r="96" spans="1:16" ht="48" customHeight="1">
      <c r="A96">
        <v>0</v>
      </c>
      <c r="B96">
        <v>0</v>
      </c>
      <c r="C96">
        <v>0</v>
      </c>
      <c r="D96">
        <v>0</v>
      </c>
      <c r="F96" s="27">
        <f>IF(U6,IF(V2&lt;=1,"", IF(ISNA(C96),"",A96&amp; " - " &amp; C96)),"")</f>
        <v>0</v>
      </c>
      <c r="G96" s="27"/>
      <c r="H96" s="27"/>
      <c r="I96" s="27"/>
      <c r="J96" s="27"/>
      <c r="K96" s="27"/>
      <c r="L96" s="27"/>
      <c r="M96" s="27"/>
      <c r="N96" s="27"/>
      <c r="O96" s="27"/>
      <c r="P96" s="27"/>
    </row>
    <row r="97" spans="1:16" ht="48" customHeight="1">
      <c r="A97">
        <v>0</v>
      </c>
      <c r="B97">
        <v>0</v>
      </c>
      <c r="C97">
        <v>0</v>
      </c>
      <c r="D97">
        <v>0</v>
      </c>
      <c r="F97" s="27">
        <f>IF(U6,IF(V2&lt;=1,"", IF(ISNA(C97),"",A97&amp; " - " &amp; C97)),"")</f>
        <v>0</v>
      </c>
      <c r="G97" s="27"/>
      <c r="H97" s="27"/>
      <c r="I97" s="27"/>
      <c r="J97" s="27"/>
      <c r="K97" s="27"/>
      <c r="L97" s="27"/>
      <c r="M97" s="27"/>
      <c r="N97" s="27"/>
      <c r="O97" s="27"/>
      <c r="P97" s="27"/>
    </row>
    <row r="98" spans="1:16" ht="48" customHeight="1">
      <c r="A98">
        <v>0</v>
      </c>
      <c r="B98">
        <v>0</v>
      </c>
      <c r="C98">
        <v>0</v>
      </c>
      <c r="D98">
        <v>0</v>
      </c>
      <c r="F98" s="27">
        <f>IF(U6,IF(V2&lt;=1,"", IF(ISNA(C98),"",A98&amp; " - " &amp; C98)),"")</f>
        <v>0</v>
      </c>
      <c r="G98" s="27"/>
      <c r="H98" s="27"/>
      <c r="I98" s="27"/>
      <c r="J98" s="27"/>
      <c r="K98" s="27"/>
      <c r="L98" s="27"/>
      <c r="M98" s="27"/>
      <c r="N98" s="27"/>
      <c r="O98" s="27"/>
      <c r="P98" s="27"/>
    </row>
    <row r="99" spans="1:16" ht="48" customHeight="1">
      <c r="A99">
        <v>0</v>
      </c>
      <c r="B99">
        <v>0</v>
      </c>
      <c r="C99">
        <v>0</v>
      </c>
      <c r="D99">
        <v>0</v>
      </c>
      <c r="F99" s="27">
        <f>IF(U6,IF(V2&lt;=1,"", IF(ISNA(C99),"",A99&amp; " - " &amp; C99)),"")</f>
        <v>0</v>
      </c>
      <c r="G99" s="27"/>
      <c r="H99" s="27"/>
      <c r="I99" s="27"/>
      <c r="J99" s="27"/>
      <c r="K99" s="27"/>
      <c r="L99" s="27"/>
      <c r="M99" s="27"/>
      <c r="N99" s="27"/>
      <c r="O99" s="27"/>
      <c r="P99" s="27"/>
    </row>
    <row r="100" spans="1:16" ht="48" customHeight="1">
      <c r="A100">
        <v>0</v>
      </c>
      <c r="B100">
        <v>0</v>
      </c>
      <c r="C100">
        <v>0</v>
      </c>
      <c r="D100">
        <v>0</v>
      </c>
      <c r="F100" s="27">
        <f>IF(U6,IF(V2&lt;=1,"", IF(ISNA(C100),"",A100&amp; " - " &amp; C100)),"")</f>
        <v>0</v>
      </c>
      <c r="G100" s="27"/>
      <c r="H100" s="27"/>
      <c r="I100" s="27"/>
      <c r="J100" s="27"/>
      <c r="K100" s="27"/>
      <c r="L100" s="27"/>
      <c r="M100" s="27"/>
      <c r="N100" s="27"/>
      <c r="O100" s="27"/>
      <c r="P100" s="27"/>
    </row>
    <row r="101" spans="1:16" ht="48" customHeight="1">
      <c r="A101">
        <v>0</v>
      </c>
      <c r="B101">
        <v>0</v>
      </c>
      <c r="C101">
        <v>0</v>
      </c>
      <c r="D101">
        <v>0</v>
      </c>
      <c r="F101" s="27">
        <f>IF(U6,IF(V2&lt;=1,"", IF(ISNA(C101),"",A101&amp; " - " &amp; C101)),"")</f>
        <v>0</v>
      </c>
      <c r="G101" s="27"/>
      <c r="H101" s="27"/>
      <c r="I101" s="27"/>
      <c r="J101" s="27"/>
      <c r="K101" s="27"/>
      <c r="L101" s="27"/>
      <c r="M101" s="27"/>
      <c r="N101" s="27"/>
      <c r="O101" s="27"/>
      <c r="P101" s="27"/>
    </row>
    <row r="102" spans="1:16" ht="48" customHeight="1">
      <c r="A102">
        <v>0</v>
      </c>
      <c r="B102">
        <v>0</v>
      </c>
      <c r="C102">
        <v>0</v>
      </c>
      <c r="D102">
        <v>0</v>
      </c>
      <c r="F102" s="27">
        <f>IF(U6,IF(V2&lt;=1,"", IF(ISNA(C102),"",A102&amp; " - " &amp; C102)),"")</f>
        <v>0</v>
      </c>
      <c r="G102" s="27"/>
      <c r="H102" s="27"/>
      <c r="I102" s="27"/>
      <c r="J102" s="27"/>
      <c r="K102" s="27"/>
      <c r="L102" s="27"/>
      <c r="M102" s="27"/>
      <c r="N102" s="27"/>
      <c r="O102" s="27"/>
      <c r="P102" s="27"/>
    </row>
    <row r="103" spans="1:16" ht="48" customHeight="1">
      <c r="A103">
        <v>0</v>
      </c>
      <c r="B103">
        <v>0</v>
      </c>
      <c r="C103">
        <v>0</v>
      </c>
      <c r="D103">
        <v>0</v>
      </c>
      <c r="F103" s="27">
        <f>IF(U6,IF(V2&lt;=1,"", IF(ISNA(C103),"",A103&amp; " - " &amp; C103)),"")</f>
        <v>0</v>
      </c>
      <c r="G103" s="27"/>
      <c r="H103" s="27"/>
      <c r="I103" s="27"/>
      <c r="J103" s="27"/>
      <c r="K103" s="27"/>
      <c r="L103" s="27"/>
      <c r="M103" s="27"/>
      <c r="N103" s="27"/>
      <c r="O103" s="27"/>
      <c r="P103" s="27"/>
    </row>
    <row r="104" spans="1:16" ht="48" customHeight="1">
      <c r="A104">
        <v>0</v>
      </c>
      <c r="B104">
        <v>0</v>
      </c>
      <c r="C104">
        <v>0</v>
      </c>
      <c r="D104">
        <v>0</v>
      </c>
      <c r="F104" s="27">
        <f>IF(U6,IF(V2&lt;=1,"", IF(ISNA(C104),"",A104&amp; " - " &amp; C104)),"")</f>
        <v>0</v>
      </c>
      <c r="G104" s="27"/>
      <c r="H104" s="27"/>
      <c r="I104" s="27"/>
      <c r="J104" s="27"/>
      <c r="K104" s="27"/>
      <c r="L104" s="27"/>
      <c r="M104" s="27"/>
      <c r="N104" s="27"/>
      <c r="O104" s="27"/>
      <c r="P104" s="27"/>
    </row>
    <row r="105" spans="1:16" ht="48" customHeight="1">
      <c r="A105">
        <v>0</v>
      </c>
      <c r="B105">
        <v>0</v>
      </c>
      <c r="C105">
        <v>0</v>
      </c>
      <c r="D105">
        <v>0</v>
      </c>
      <c r="F105" s="27">
        <f>IF(U6,IF(V2&lt;=1,"", IF(ISNA(C105),"",A105&amp; " - " &amp; C105)),"")</f>
        <v>0</v>
      </c>
      <c r="G105" s="27"/>
      <c r="H105" s="27"/>
      <c r="I105" s="27"/>
      <c r="J105" s="27"/>
      <c r="K105" s="27"/>
      <c r="L105" s="27"/>
      <c r="M105" s="27"/>
      <c r="N105" s="27"/>
      <c r="O105" s="27"/>
      <c r="P105" s="27"/>
    </row>
    <row r="106" spans="1:16" ht="48" customHeight="1">
      <c r="A106">
        <v>0</v>
      </c>
      <c r="B106">
        <v>0</v>
      </c>
      <c r="C106">
        <v>0</v>
      </c>
      <c r="D106">
        <v>0</v>
      </c>
      <c r="F106" s="27">
        <f>IF(U6,IF(V2&lt;=1,"", IF(ISNA(C106),"",A106&amp; " - " &amp; C106)),"")</f>
        <v>0</v>
      </c>
      <c r="G106" s="27"/>
      <c r="H106" s="27"/>
      <c r="I106" s="27"/>
      <c r="J106" s="27"/>
      <c r="K106" s="27"/>
      <c r="L106" s="27"/>
      <c r="M106" s="27"/>
      <c r="N106" s="27"/>
      <c r="O106" s="27"/>
      <c r="P106" s="27"/>
    </row>
    <row r="107" spans="1:16" ht="48" customHeight="1">
      <c r="A107">
        <v>0</v>
      </c>
      <c r="B107">
        <v>0</v>
      </c>
      <c r="C107">
        <v>0</v>
      </c>
      <c r="D107">
        <v>0</v>
      </c>
      <c r="F107" s="27">
        <f>IF(U6,IF(V2&lt;=1,"", IF(ISNA(C107),"",A107&amp; " - " &amp; C107)),"")</f>
        <v>0</v>
      </c>
      <c r="G107" s="27"/>
      <c r="H107" s="27"/>
      <c r="I107" s="27"/>
      <c r="J107" s="27"/>
      <c r="K107" s="27"/>
      <c r="L107" s="27"/>
      <c r="M107" s="27"/>
      <c r="N107" s="27"/>
      <c r="O107" s="27"/>
      <c r="P107" s="27"/>
    </row>
    <row r="108" spans="1:16" ht="48" customHeight="1">
      <c r="A108">
        <v>0</v>
      </c>
      <c r="B108">
        <v>0</v>
      </c>
      <c r="C108">
        <v>0</v>
      </c>
      <c r="D108">
        <v>0</v>
      </c>
      <c r="F108" s="27">
        <f>IF(U6,IF(V2&lt;=1,"", IF(ISNA(C108),"",A108&amp; " - " &amp; C108)),"")</f>
        <v>0</v>
      </c>
      <c r="G108" s="27"/>
      <c r="H108" s="27"/>
      <c r="I108" s="27"/>
      <c r="J108" s="27"/>
      <c r="K108" s="27"/>
      <c r="L108" s="27"/>
      <c r="M108" s="27"/>
      <c r="N108" s="27"/>
      <c r="O108" s="27"/>
      <c r="P108" s="27"/>
    </row>
    <row r="109" spans="1:16" ht="48" customHeight="1">
      <c r="A109">
        <v>0</v>
      </c>
      <c r="B109">
        <v>0</v>
      </c>
      <c r="C109">
        <v>0</v>
      </c>
      <c r="D109">
        <v>0</v>
      </c>
      <c r="F109" s="27">
        <f>IF(U6,IF(V2&lt;=1,"", IF(ISNA(C109),"",A109&amp; " - " &amp; C109)),"")</f>
        <v>0</v>
      </c>
      <c r="G109" s="27"/>
      <c r="H109" s="27"/>
      <c r="I109" s="27"/>
      <c r="J109" s="27"/>
      <c r="K109" s="27"/>
      <c r="L109" s="27"/>
      <c r="M109" s="27"/>
      <c r="N109" s="27"/>
      <c r="O109" s="27"/>
      <c r="P109" s="27"/>
    </row>
    <row r="110" spans="1:16" ht="48" customHeight="1">
      <c r="A110">
        <v>0</v>
      </c>
      <c r="B110">
        <v>0</v>
      </c>
      <c r="C110">
        <v>0</v>
      </c>
      <c r="D110">
        <v>0</v>
      </c>
      <c r="F110" s="27">
        <f>IF(U6,IF(V2&lt;=1,"", IF(ISNA(C110),"",A110&amp; " - " &amp; C110)),"")</f>
        <v>0</v>
      </c>
      <c r="G110" s="27"/>
      <c r="H110" s="27"/>
      <c r="I110" s="27"/>
      <c r="J110" s="27"/>
      <c r="K110" s="27"/>
      <c r="L110" s="27"/>
      <c r="M110" s="27"/>
      <c r="N110" s="27"/>
      <c r="O110" s="27"/>
      <c r="P110" s="27"/>
    </row>
    <row r="111" spans="1:16" ht="48" customHeight="1">
      <c r="A111">
        <v>0</v>
      </c>
      <c r="B111">
        <v>0</v>
      </c>
      <c r="C111">
        <v>0</v>
      </c>
      <c r="D111">
        <v>0</v>
      </c>
      <c r="F111" s="27">
        <f>IF(U6,IF(V2&lt;=1,"", IF(ISNA(C111),"",A111&amp; " - " &amp; C111)),"")</f>
        <v>0</v>
      </c>
      <c r="G111" s="27"/>
      <c r="H111" s="27"/>
      <c r="I111" s="27"/>
      <c r="J111" s="27"/>
      <c r="K111" s="27"/>
      <c r="L111" s="27"/>
      <c r="M111" s="27"/>
      <c r="N111" s="27"/>
      <c r="O111" s="27"/>
      <c r="P111" s="27"/>
    </row>
    <row r="112" spans="1:16" ht="48" customHeight="1">
      <c r="A112">
        <v>0</v>
      </c>
      <c r="B112">
        <v>0</v>
      </c>
      <c r="C112">
        <v>0</v>
      </c>
      <c r="D112">
        <v>0</v>
      </c>
      <c r="F112" s="27">
        <f>IF(U6,IF(V2&lt;=1,"", IF(ISNA(C112),"",A112&amp; " - " &amp; C112)),"")</f>
        <v>0</v>
      </c>
      <c r="G112" s="27"/>
      <c r="H112" s="27"/>
      <c r="I112" s="27"/>
      <c r="J112" s="27"/>
      <c r="K112" s="27"/>
      <c r="L112" s="27"/>
      <c r="M112" s="27"/>
      <c r="N112" s="27"/>
      <c r="O112" s="27"/>
      <c r="P112" s="27"/>
    </row>
    <row r="113" spans="1:16" ht="48" customHeight="1">
      <c r="A113">
        <v>0</v>
      </c>
      <c r="B113">
        <v>0</v>
      </c>
      <c r="C113">
        <v>0</v>
      </c>
      <c r="D113">
        <v>0</v>
      </c>
      <c r="F113" s="27">
        <f>IF(U6,IF(V2&lt;=1,"", IF(ISNA(C113),"",A113&amp; " - " &amp; C113)),"")</f>
        <v>0</v>
      </c>
      <c r="G113" s="27"/>
      <c r="H113" s="27"/>
      <c r="I113" s="27"/>
      <c r="J113" s="27"/>
      <c r="K113" s="27"/>
      <c r="L113" s="27"/>
      <c r="M113" s="27"/>
      <c r="N113" s="27"/>
      <c r="O113" s="27"/>
      <c r="P113" s="27"/>
    </row>
    <row r="114" spans="1:16" ht="48" customHeight="1">
      <c r="A114">
        <v>0</v>
      </c>
      <c r="B114">
        <v>0</v>
      </c>
      <c r="C114">
        <v>0</v>
      </c>
      <c r="D114">
        <v>0</v>
      </c>
      <c r="F114" s="27">
        <f>IF(U6,IF(V2&lt;=1,"", IF(ISNA(C114),"",A114&amp; " - " &amp; C114)),"")</f>
        <v>0</v>
      </c>
      <c r="G114" s="27"/>
      <c r="H114" s="27"/>
      <c r="I114" s="27"/>
      <c r="J114" s="27"/>
      <c r="K114" s="27"/>
      <c r="L114" s="27"/>
      <c r="M114" s="27"/>
      <c r="N114" s="27"/>
      <c r="O114" s="27"/>
      <c r="P114" s="27"/>
    </row>
    <row r="115" spans="1:16" ht="48" customHeight="1">
      <c r="A115">
        <v>0</v>
      </c>
      <c r="B115">
        <v>0</v>
      </c>
      <c r="C115">
        <v>0</v>
      </c>
      <c r="D115">
        <v>0</v>
      </c>
      <c r="F115" s="27">
        <f>IF(U6,IF(V2&lt;=1,"", IF(ISNA(C115),"",A115&amp; " - " &amp; C115)),"")</f>
        <v>0</v>
      </c>
      <c r="G115" s="27"/>
      <c r="H115" s="27"/>
      <c r="I115" s="27"/>
      <c r="J115" s="27"/>
      <c r="K115" s="27"/>
      <c r="L115" s="27"/>
      <c r="M115" s="27"/>
      <c r="N115" s="27"/>
      <c r="O115" s="27"/>
      <c r="P115" s="27"/>
    </row>
    <row r="116" spans="1:16" ht="48" customHeight="1">
      <c r="A116">
        <v>0</v>
      </c>
      <c r="B116">
        <v>0</v>
      </c>
      <c r="C116">
        <v>0</v>
      </c>
      <c r="D116">
        <v>0</v>
      </c>
      <c r="F116" s="27">
        <f>IF(U6,IF(V2&lt;=1,"", IF(ISNA(C116),"",A116&amp; " - " &amp; C116)),"")</f>
        <v>0</v>
      </c>
      <c r="G116" s="27"/>
      <c r="H116" s="27"/>
      <c r="I116" s="27"/>
      <c r="J116" s="27"/>
      <c r="K116" s="27"/>
      <c r="L116" s="27"/>
      <c r="M116" s="27"/>
      <c r="N116" s="27"/>
      <c r="O116" s="27"/>
      <c r="P116" s="27"/>
    </row>
    <row r="117" spans="1:16" ht="48" customHeight="1">
      <c r="A117">
        <v>0</v>
      </c>
      <c r="B117">
        <v>0</v>
      </c>
      <c r="C117">
        <v>0</v>
      </c>
      <c r="D117">
        <v>0</v>
      </c>
      <c r="F117" s="27">
        <f>IF(U6,IF(V2&lt;=1,"", IF(ISNA(C117),"",A117&amp; " - " &amp; C117)),"")</f>
        <v>0</v>
      </c>
      <c r="G117" s="27"/>
      <c r="H117" s="27"/>
      <c r="I117" s="27"/>
      <c r="J117" s="27"/>
      <c r="K117" s="27"/>
      <c r="L117" s="27"/>
      <c r="M117" s="27"/>
      <c r="N117" s="27"/>
      <c r="O117" s="27"/>
      <c r="P117" s="27"/>
    </row>
    <row r="118" spans="1:16" ht="48" customHeight="1">
      <c r="A118">
        <v>0</v>
      </c>
      <c r="B118">
        <v>0</v>
      </c>
      <c r="C118">
        <v>0</v>
      </c>
      <c r="D118">
        <v>0</v>
      </c>
      <c r="F118" s="27">
        <f>IF(U6,IF(V2&lt;=1,"", IF(ISNA(C118),"",A118&amp; " - " &amp; C118)),"")</f>
        <v>0</v>
      </c>
      <c r="G118" s="27"/>
      <c r="H118" s="27"/>
      <c r="I118" s="27"/>
      <c r="J118" s="27"/>
      <c r="K118" s="27"/>
      <c r="L118" s="27"/>
      <c r="M118" s="27"/>
      <c r="N118" s="27"/>
      <c r="O118" s="27"/>
      <c r="P118" s="27"/>
    </row>
    <row r="119" spans="1:16" ht="48" customHeight="1">
      <c r="A119">
        <v>0</v>
      </c>
      <c r="B119">
        <v>0</v>
      </c>
      <c r="C119">
        <v>0</v>
      </c>
      <c r="D119">
        <v>0</v>
      </c>
      <c r="F119" s="27">
        <f>IF(U6,IF(V2&lt;=1,"", IF(ISNA(C119),"",A119&amp; " - " &amp; C119)),"")</f>
        <v>0</v>
      </c>
      <c r="G119" s="27"/>
      <c r="H119" s="27"/>
      <c r="I119" s="27"/>
      <c r="J119" s="27"/>
      <c r="K119" s="27"/>
      <c r="L119" s="27"/>
      <c r="M119" s="27"/>
      <c r="N119" s="27"/>
      <c r="O119" s="27"/>
      <c r="P119" s="27"/>
    </row>
    <row r="120" spans="1:16" ht="48" customHeight="1">
      <c r="A120">
        <v>0</v>
      </c>
      <c r="B120">
        <v>0</v>
      </c>
      <c r="C120">
        <v>0</v>
      </c>
      <c r="D120">
        <v>0</v>
      </c>
      <c r="F120" s="27">
        <f>IF(U6,IF(V2&lt;=1,"", IF(ISNA(C120),"",A120&amp; " - " &amp; C120)),"")</f>
        <v>0</v>
      </c>
      <c r="G120" s="27"/>
      <c r="H120" s="27"/>
      <c r="I120" s="27"/>
      <c r="J120" s="27"/>
      <c r="K120" s="27"/>
      <c r="L120" s="27"/>
      <c r="M120" s="27"/>
      <c r="N120" s="27"/>
      <c r="O120" s="27"/>
      <c r="P120" s="27"/>
    </row>
    <row r="121" spans="1:16">
      <c r="A121">
        <v>0</v>
      </c>
      <c r="B121">
        <v>0</v>
      </c>
      <c r="C121">
        <v>0</v>
      </c>
      <c r="D121">
        <v>0</v>
      </c>
    </row>
    <row r="122" spans="1:16">
      <c r="A122">
        <v>0</v>
      </c>
      <c r="B122">
        <v>0</v>
      </c>
      <c r="C122">
        <v>0</v>
      </c>
      <c r="D122">
        <v>0</v>
      </c>
    </row>
    <row r="123" spans="1:16">
      <c r="A123">
        <v>0</v>
      </c>
      <c r="B123">
        <v>0</v>
      </c>
      <c r="C123">
        <v>0</v>
      </c>
      <c r="D123">
        <v>0</v>
      </c>
    </row>
    <row r="124" spans="1:16">
      <c r="A124">
        <v>0</v>
      </c>
      <c r="B124">
        <v>0</v>
      </c>
      <c r="C124">
        <v>0</v>
      </c>
      <c r="D124">
        <v>0</v>
      </c>
    </row>
    <row r="125" spans="1:16">
      <c r="A125">
        <v>0</v>
      </c>
      <c r="B125">
        <v>0</v>
      </c>
      <c r="C125">
        <v>0</v>
      </c>
      <c r="D125">
        <v>0</v>
      </c>
    </row>
    <row r="126" spans="1:16">
      <c r="A126">
        <v>0</v>
      </c>
      <c r="B126">
        <v>0</v>
      </c>
      <c r="C126">
        <v>0</v>
      </c>
      <c r="D126">
        <v>0</v>
      </c>
    </row>
    <row r="127" spans="1:16">
      <c r="A127">
        <v>0</v>
      </c>
      <c r="B127">
        <v>0</v>
      </c>
      <c r="C127">
        <v>0</v>
      </c>
      <c r="D127">
        <v>0</v>
      </c>
    </row>
    <row r="128" spans="1:16">
      <c r="A128">
        <v>0</v>
      </c>
      <c r="B128">
        <v>0</v>
      </c>
      <c r="C128">
        <v>0</v>
      </c>
      <c r="D128">
        <v>0</v>
      </c>
    </row>
    <row r="129" spans="1:4">
      <c r="A129">
        <v>0</v>
      </c>
      <c r="B129">
        <v>0</v>
      </c>
      <c r="C129">
        <v>0</v>
      </c>
      <c r="D129">
        <v>0</v>
      </c>
    </row>
    <row r="130" spans="1:4">
      <c r="A130">
        <v>0</v>
      </c>
      <c r="B130">
        <v>0</v>
      </c>
      <c r="C130">
        <v>0</v>
      </c>
      <c r="D130">
        <v>0</v>
      </c>
    </row>
    <row r="131" spans="1:4">
      <c r="A131">
        <v>0</v>
      </c>
      <c r="B131">
        <v>0</v>
      </c>
      <c r="C131">
        <v>0</v>
      </c>
      <c r="D131">
        <v>0</v>
      </c>
    </row>
    <row r="132" spans="1:4">
      <c r="A132">
        <v>0</v>
      </c>
      <c r="B132">
        <v>0</v>
      </c>
      <c r="C132">
        <v>0</v>
      </c>
      <c r="D132">
        <v>0</v>
      </c>
    </row>
    <row r="133" spans="1:4">
      <c r="A133">
        <v>0</v>
      </c>
      <c r="B133">
        <v>0</v>
      </c>
      <c r="C133">
        <v>0</v>
      </c>
      <c r="D133">
        <v>0</v>
      </c>
    </row>
    <row r="134" spans="1:4">
      <c r="A134">
        <v>0</v>
      </c>
      <c r="B134">
        <v>0</v>
      </c>
      <c r="C134">
        <v>0</v>
      </c>
      <c r="D134">
        <v>0</v>
      </c>
    </row>
    <row r="135" spans="1:4">
      <c r="A135">
        <v>0</v>
      </c>
      <c r="B135">
        <v>0</v>
      </c>
      <c r="C135">
        <v>0</v>
      </c>
      <c r="D135">
        <v>0</v>
      </c>
    </row>
    <row r="136" spans="1:4">
      <c r="A136">
        <v>0</v>
      </c>
      <c r="B136">
        <v>0</v>
      </c>
      <c r="C136">
        <v>0</v>
      </c>
      <c r="D136">
        <v>0</v>
      </c>
    </row>
    <row r="137" spans="1:4">
      <c r="A137">
        <v>0</v>
      </c>
      <c r="B137">
        <v>0</v>
      </c>
      <c r="C137">
        <v>0</v>
      </c>
      <c r="D137">
        <v>0</v>
      </c>
    </row>
    <row r="138" spans="1:4">
      <c r="A138">
        <v>0</v>
      </c>
      <c r="B138">
        <v>0</v>
      </c>
      <c r="C138">
        <v>0</v>
      </c>
      <c r="D138">
        <v>0</v>
      </c>
    </row>
    <row r="139" spans="1:4">
      <c r="A139">
        <v>0</v>
      </c>
      <c r="B139">
        <v>0</v>
      </c>
      <c r="C139">
        <v>0</v>
      </c>
      <c r="D139">
        <v>0</v>
      </c>
    </row>
    <row r="140" spans="1:4">
      <c r="A140">
        <v>0</v>
      </c>
      <c r="B140">
        <v>0</v>
      </c>
      <c r="C140">
        <v>0</v>
      </c>
      <c r="D140">
        <v>0</v>
      </c>
    </row>
    <row r="141" spans="1:4">
      <c r="A141">
        <v>0</v>
      </c>
      <c r="B141">
        <v>0</v>
      </c>
      <c r="C141">
        <v>0</v>
      </c>
      <c r="D141">
        <v>0</v>
      </c>
    </row>
    <row r="142" spans="1:4">
      <c r="A142">
        <v>0</v>
      </c>
      <c r="B142">
        <v>0</v>
      </c>
      <c r="C142">
        <v>0</v>
      </c>
      <c r="D142">
        <v>0</v>
      </c>
    </row>
    <row r="143" spans="1:4">
      <c r="A143">
        <v>0</v>
      </c>
      <c r="B143">
        <v>0</v>
      </c>
      <c r="C143">
        <v>0</v>
      </c>
      <c r="D143">
        <v>0</v>
      </c>
    </row>
    <row r="144" spans="1:4">
      <c r="A144">
        <v>0</v>
      </c>
      <c r="B144">
        <v>0</v>
      </c>
      <c r="C144">
        <v>0</v>
      </c>
      <c r="D144">
        <v>0</v>
      </c>
    </row>
    <row r="145" spans="1:4">
      <c r="A145">
        <v>0</v>
      </c>
      <c r="B145">
        <v>0</v>
      </c>
      <c r="C145">
        <v>0</v>
      </c>
      <c r="D145">
        <v>0</v>
      </c>
    </row>
    <row r="146" spans="1:4">
      <c r="A146">
        <v>0</v>
      </c>
      <c r="B146">
        <v>0</v>
      </c>
      <c r="C146">
        <v>0</v>
      </c>
      <c r="D146">
        <v>0</v>
      </c>
    </row>
    <row r="147" spans="1:4">
      <c r="A147">
        <v>0</v>
      </c>
      <c r="B147">
        <v>0</v>
      </c>
      <c r="C147">
        <v>0</v>
      </c>
      <c r="D147">
        <v>0</v>
      </c>
    </row>
    <row r="148" spans="1:4">
      <c r="A148">
        <v>0</v>
      </c>
      <c r="B148">
        <v>0</v>
      </c>
      <c r="C148">
        <v>0</v>
      </c>
      <c r="D148">
        <v>0</v>
      </c>
    </row>
    <row r="149" spans="1:4">
      <c r="A149">
        <v>0</v>
      </c>
      <c r="B149">
        <v>0</v>
      </c>
      <c r="C149">
        <v>0</v>
      </c>
      <c r="D149">
        <v>0</v>
      </c>
    </row>
    <row r="150" spans="1:4">
      <c r="A150">
        <v>0</v>
      </c>
      <c r="B150">
        <v>0</v>
      </c>
      <c r="C150">
        <v>0</v>
      </c>
      <c r="D150">
        <v>0</v>
      </c>
    </row>
    <row r="151" spans="1:4">
      <c r="A151">
        <v>0</v>
      </c>
      <c r="B151">
        <v>0</v>
      </c>
      <c r="C151">
        <v>0</v>
      </c>
      <c r="D151">
        <v>0</v>
      </c>
    </row>
    <row r="152" spans="1:4">
      <c r="A152">
        <v>0</v>
      </c>
      <c r="B152">
        <v>0</v>
      </c>
      <c r="C152">
        <v>0</v>
      </c>
      <c r="D152">
        <v>0</v>
      </c>
    </row>
    <row r="153" spans="1:4">
      <c r="A153">
        <v>0</v>
      </c>
      <c r="B153">
        <v>0</v>
      </c>
      <c r="C153">
        <v>0</v>
      </c>
      <c r="D153">
        <v>0</v>
      </c>
    </row>
    <row r="154" spans="1:4">
      <c r="A154">
        <v>0</v>
      </c>
      <c r="B154">
        <v>0</v>
      </c>
      <c r="C154">
        <v>0</v>
      </c>
      <c r="D154">
        <v>0</v>
      </c>
    </row>
    <row r="155" spans="1:4">
      <c r="A155">
        <v>0</v>
      </c>
      <c r="B155">
        <v>0</v>
      </c>
      <c r="C155">
        <v>0</v>
      </c>
      <c r="D155">
        <v>0</v>
      </c>
    </row>
    <row r="156" spans="1:4">
      <c r="A156">
        <v>0</v>
      </c>
      <c r="B156">
        <v>0</v>
      </c>
      <c r="C156">
        <v>0</v>
      </c>
      <c r="D156">
        <v>0</v>
      </c>
    </row>
    <row r="157" spans="1:4">
      <c r="A157">
        <v>0</v>
      </c>
      <c r="B157">
        <v>0</v>
      </c>
      <c r="C157">
        <v>0</v>
      </c>
      <c r="D157">
        <v>0</v>
      </c>
    </row>
    <row r="158" spans="1:4">
      <c r="A158">
        <v>0</v>
      </c>
      <c r="B158">
        <v>0</v>
      </c>
      <c r="C158">
        <v>0</v>
      </c>
      <c r="D158">
        <v>0</v>
      </c>
    </row>
    <row r="159" spans="1:4">
      <c r="A159">
        <v>0</v>
      </c>
      <c r="B159">
        <v>0</v>
      </c>
      <c r="C159">
        <v>0</v>
      </c>
      <c r="D159">
        <v>0</v>
      </c>
    </row>
    <row r="160" spans="1:4">
      <c r="A160">
        <v>0</v>
      </c>
      <c r="B160">
        <v>0</v>
      </c>
      <c r="C160">
        <v>0</v>
      </c>
      <c r="D160">
        <v>0</v>
      </c>
    </row>
    <row r="161" spans="1:4">
      <c r="A161">
        <v>0</v>
      </c>
      <c r="B161">
        <v>0</v>
      </c>
      <c r="C161">
        <v>0</v>
      </c>
      <c r="D161">
        <v>0</v>
      </c>
    </row>
    <row r="162" spans="1:4">
      <c r="A162">
        <v>0</v>
      </c>
      <c r="B162">
        <v>0</v>
      </c>
      <c r="C162">
        <v>0</v>
      </c>
      <c r="D162">
        <v>0</v>
      </c>
    </row>
    <row r="163" spans="1:4">
      <c r="A163">
        <v>0</v>
      </c>
      <c r="B163">
        <v>0</v>
      </c>
      <c r="C163">
        <v>0</v>
      </c>
      <c r="D163">
        <v>0</v>
      </c>
    </row>
    <row r="164" spans="1:4">
      <c r="A164">
        <v>0</v>
      </c>
      <c r="B164">
        <v>0</v>
      </c>
      <c r="C164">
        <v>0</v>
      </c>
      <c r="D164">
        <v>0</v>
      </c>
    </row>
    <row r="165" spans="1:4">
      <c r="A165">
        <v>0</v>
      </c>
      <c r="B165">
        <v>0</v>
      </c>
      <c r="C165">
        <v>0</v>
      </c>
      <c r="D165">
        <v>0</v>
      </c>
    </row>
    <row r="166" spans="1:4">
      <c r="A166">
        <v>0</v>
      </c>
      <c r="B166">
        <v>0</v>
      </c>
      <c r="C166">
        <v>0</v>
      </c>
      <c r="D166">
        <v>0</v>
      </c>
    </row>
    <row r="167" spans="1:4">
      <c r="A167">
        <v>0</v>
      </c>
      <c r="B167">
        <v>0</v>
      </c>
      <c r="C167">
        <v>0</v>
      </c>
      <c r="D167">
        <v>0</v>
      </c>
    </row>
    <row r="168" spans="1:4">
      <c r="A168">
        <v>0</v>
      </c>
      <c r="B168">
        <v>0</v>
      </c>
      <c r="C168">
        <v>0</v>
      </c>
      <c r="D168">
        <v>0</v>
      </c>
    </row>
    <row r="169" spans="1:4">
      <c r="A169">
        <v>0</v>
      </c>
      <c r="B169">
        <v>0</v>
      </c>
      <c r="C169">
        <v>0</v>
      </c>
      <c r="D169">
        <v>0</v>
      </c>
    </row>
    <row r="170" spans="1:4">
      <c r="A170">
        <v>0</v>
      </c>
      <c r="B170">
        <v>0</v>
      </c>
      <c r="C170">
        <v>0</v>
      </c>
      <c r="D170">
        <v>0</v>
      </c>
    </row>
    <row r="171" spans="1:4">
      <c r="A171">
        <v>0</v>
      </c>
      <c r="B171">
        <v>0</v>
      </c>
      <c r="C171">
        <v>0</v>
      </c>
      <c r="D171">
        <v>0</v>
      </c>
    </row>
    <row r="172" spans="1:4">
      <c r="A172">
        <v>0</v>
      </c>
      <c r="B172">
        <v>0</v>
      </c>
      <c r="C172">
        <v>0</v>
      </c>
      <c r="D172">
        <v>0</v>
      </c>
    </row>
    <row r="173" spans="1:4">
      <c r="A173">
        <v>0</v>
      </c>
      <c r="B173">
        <v>0</v>
      </c>
      <c r="C173">
        <v>0</v>
      </c>
      <c r="D173">
        <v>0</v>
      </c>
    </row>
    <row r="174" spans="1:4">
      <c r="A174">
        <v>0</v>
      </c>
      <c r="B174">
        <v>0</v>
      </c>
      <c r="C174">
        <v>0</v>
      </c>
      <c r="D174">
        <v>0</v>
      </c>
    </row>
    <row r="175" spans="1:4">
      <c r="A175">
        <v>0</v>
      </c>
      <c r="B175">
        <v>0</v>
      </c>
      <c r="C175">
        <v>0</v>
      </c>
      <c r="D175">
        <v>0</v>
      </c>
    </row>
    <row r="176" spans="1:4">
      <c r="A176">
        <v>0</v>
      </c>
      <c r="B176">
        <v>0</v>
      </c>
      <c r="C176">
        <v>0</v>
      </c>
      <c r="D176">
        <v>0</v>
      </c>
    </row>
    <row r="177" spans="1:4">
      <c r="A177">
        <v>0</v>
      </c>
      <c r="B177">
        <v>0</v>
      </c>
      <c r="C177">
        <v>0</v>
      </c>
      <c r="D177">
        <v>0</v>
      </c>
    </row>
    <row r="178" spans="1:4">
      <c r="A178">
        <v>0</v>
      </c>
      <c r="B178">
        <v>0</v>
      </c>
      <c r="C178">
        <v>0</v>
      </c>
      <c r="D178">
        <v>0</v>
      </c>
    </row>
    <row r="179" spans="1:4">
      <c r="A179">
        <v>0</v>
      </c>
      <c r="B179">
        <v>0</v>
      </c>
      <c r="C179">
        <v>0</v>
      </c>
      <c r="D179">
        <v>0</v>
      </c>
    </row>
    <row r="180" spans="1:4">
      <c r="A180">
        <v>0</v>
      </c>
      <c r="B180">
        <v>0</v>
      </c>
      <c r="C180">
        <v>0</v>
      </c>
      <c r="D180">
        <v>0</v>
      </c>
    </row>
    <row r="181" spans="1:4">
      <c r="A181">
        <v>0</v>
      </c>
      <c r="B181">
        <v>0</v>
      </c>
      <c r="C181">
        <v>0</v>
      </c>
      <c r="D181">
        <v>0</v>
      </c>
    </row>
    <row r="182" spans="1:4">
      <c r="A182">
        <v>0</v>
      </c>
      <c r="B182">
        <v>0</v>
      </c>
      <c r="C182">
        <v>0</v>
      </c>
      <c r="D182">
        <v>0</v>
      </c>
    </row>
    <row r="183" spans="1:4">
      <c r="A183">
        <v>0</v>
      </c>
      <c r="B183">
        <v>0</v>
      </c>
      <c r="C183">
        <v>0</v>
      </c>
      <c r="D183">
        <v>0</v>
      </c>
    </row>
    <row r="184" spans="1:4">
      <c r="A184">
        <v>0</v>
      </c>
      <c r="B184">
        <v>0</v>
      </c>
      <c r="C184">
        <v>0</v>
      </c>
      <c r="D184">
        <v>0</v>
      </c>
    </row>
    <row r="185" spans="1:4">
      <c r="A185">
        <v>0</v>
      </c>
      <c r="B185">
        <v>0</v>
      </c>
      <c r="C185">
        <v>0</v>
      </c>
      <c r="D185">
        <v>0</v>
      </c>
    </row>
    <row r="186" spans="1:4">
      <c r="A186">
        <v>0</v>
      </c>
      <c r="B186">
        <v>0</v>
      </c>
      <c r="C186">
        <v>0</v>
      </c>
      <c r="D186">
        <v>0</v>
      </c>
    </row>
    <row r="187" spans="1:4">
      <c r="A187">
        <v>0</v>
      </c>
      <c r="B187">
        <v>0</v>
      </c>
      <c r="C187">
        <v>0</v>
      </c>
      <c r="D187">
        <v>0</v>
      </c>
    </row>
    <row r="188" spans="1:4">
      <c r="A188">
        <v>0</v>
      </c>
      <c r="B188">
        <v>0</v>
      </c>
      <c r="C188">
        <v>0</v>
      </c>
      <c r="D188">
        <v>0</v>
      </c>
    </row>
    <row r="189" spans="1:4">
      <c r="A189">
        <v>0</v>
      </c>
      <c r="B189">
        <v>0</v>
      </c>
      <c r="C189">
        <v>0</v>
      </c>
      <c r="D189">
        <v>0</v>
      </c>
    </row>
    <row r="190" spans="1:4">
      <c r="A190">
        <v>0</v>
      </c>
      <c r="B190">
        <v>0</v>
      </c>
      <c r="C190">
        <v>0</v>
      </c>
      <c r="D190">
        <v>0</v>
      </c>
    </row>
    <row r="191" spans="1:4">
      <c r="A191">
        <v>0</v>
      </c>
      <c r="B191">
        <v>0</v>
      </c>
      <c r="C191">
        <v>0</v>
      </c>
      <c r="D191">
        <v>0</v>
      </c>
    </row>
    <row r="192" spans="1:4">
      <c r="A192">
        <v>0</v>
      </c>
      <c r="B192">
        <v>0</v>
      </c>
      <c r="C192">
        <v>0</v>
      </c>
      <c r="D192">
        <v>0</v>
      </c>
    </row>
    <row r="193" spans="1:4">
      <c r="A193">
        <v>0</v>
      </c>
      <c r="B193">
        <v>0</v>
      </c>
      <c r="C193">
        <v>0</v>
      </c>
      <c r="D193">
        <v>0</v>
      </c>
    </row>
    <row r="194" spans="1:4">
      <c r="A194">
        <v>0</v>
      </c>
      <c r="B194">
        <v>0</v>
      </c>
      <c r="C194">
        <v>0</v>
      </c>
      <c r="D194">
        <v>0</v>
      </c>
    </row>
    <row r="195" spans="1:4">
      <c r="A195">
        <v>0</v>
      </c>
      <c r="B195">
        <v>0</v>
      </c>
      <c r="C195">
        <v>0</v>
      </c>
      <c r="D195">
        <v>0</v>
      </c>
    </row>
    <row r="196" spans="1:4">
      <c r="A196">
        <v>0</v>
      </c>
      <c r="B196">
        <v>0</v>
      </c>
      <c r="C196">
        <v>0</v>
      </c>
      <c r="D196">
        <v>0</v>
      </c>
    </row>
    <row r="197" spans="1:4">
      <c r="A197">
        <v>0</v>
      </c>
      <c r="B197">
        <v>0</v>
      </c>
      <c r="C197">
        <v>0</v>
      </c>
      <c r="D197">
        <v>0</v>
      </c>
    </row>
    <row r="198" spans="1:4">
      <c r="A198">
        <v>0</v>
      </c>
      <c r="B198">
        <v>0</v>
      </c>
      <c r="C198">
        <v>0</v>
      </c>
      <c r="D198">
        <v>0</v>
      </c>
    </row>
    <row r="199" spans="1:4">
      <c r="A199">
        <v>0</v>
      </c>
      <c r="B199">
        <v>0</v>
      </c>
      <c r="C199">
        <v>0</v>
      </c>
      <c r="D199">
        <v>0</v>
      </c>
    </row>
    <row r="200" spans="1:4">
      <c r="A200">
        <v>0</v>
      </c>
      <c r="B200">
        <v>0</v>
      </c>
      <c r="C200">
        <v>0</v>
      </c>
      <c r="D200">
        <v>0</v>
      </c>
    </row>
    <row r="201" spans="1:4">
      <c r="A201">
        <v>0</v>
      </c>
      <c r="B201">
        <v>0</v>
      </c>
      <c r="C201">
        <v>0</v>
      </c>
      <c r="D201">
        <v>0</v>
      </c>
    </row>
    <row r="202" spans="1:4">
      <c r="A202">
        <v>0</v>
      </c>
      <c r="B202">
        <v>0</v>
      </c>
      <c r="C202">
        <v>0</v>
      </c>
      <c r="D202">
        <v>0</v>
      </c>
    </row>
    <row r="203" spans="1:4">
      <c r="A203">
        <v>0</v>
      </c>
      <c r="B203">
        <v>0</v>
      </c>
      <c r="C203">
        <v>0</v>
      </c>
      <c r="D203">
        <v>0</v>
      </c>
    </row>
    <row r="204" spans="1:4">
      <c r="A204">
        <v>0</v>
      </c>
      <c r="B204">
        <v>0</v>
      </c>
      <c r="C204">
        <v>0</v>
      </c>
      <c r="D204">
        <v>0</v>
      </c>
    </row>
    <row r="205" spans="1:4">
      <c r="A205">
        <v>0</v>
      </c>
      <c r="B205">
        <v>0</v>
      </c>
      <c r="C205">
        <v>0</v>
      </c>
      <c r="D205">
        <v>0</v>
      </c>
    </row>
    <row r="206" spans="1:4">
      <c r="A206">
        <v>0</v>
      </c>
      <c r="B206">
        <v>0</v>
      </c>
      <c r="C206">
        <v>0</v>
      </c>
      <c r="D206">
        <v>0</v>
      </c>
    </row>
    <row r="207" spans="1:4">
      <c r="A207">
        <v>0</v>
      </c>
      <c r="B207">
        <v>0</v>
      </c>
      <c r="C207">
        <v>0</v>
      </c>
      <c r="D207">
        <v>0</v>
      </c>
    </row>
    <row r="208" spans="1:4">
      <c r="A208">
        <v>0</v>
      </c>
      <c r="B208">
        <v>0</v>
      </c>
      <c r="C208">
        <v>0</v>
      </c>
      <c r="D208">
        <v>0</v>
      </c>
    </row>
    <row r="209" spans="1:4">
      <c r="A209">
        <v>0</v>
      </c>
      <c r="B209">
        <v>0</v>
      </c>
      <c r="C209">
        <v>0</v>
      </c>
      <c r="D209">
        <v>0</v>
      </c>
    </row>
    <row r="210" spans="1:4">
      <c r="A210">
        <v>0</v>
      </c>
      <c r="B210">
        <v>0</v>
      </c>
      <c r="C210">
        <v>0</v>
      </c>
      <c r="D210">
        <v>0</v>
      </c>
    </row>
    <row r="211" spans="1:4">
      <c r="A211">
        <v>0</v>
      </c>
      <c r="B211">
        <v>0</v>
      </c>
      <c r="C211">
        <v>0</v>
      </c>
      <c r="D211">
        <v>0</v>
      </c>
    </row>
    <row r="212" spans="1:4">
      <c r="A212">
        <v>0</v>
      </c>
      <c r="B212">
        <v>0</v>
      </c>
      <c r="C212">
        <v>0</v>
      </c>
      <c r="D212">
        <v>0</v>
      </c>
    </row>
    <row r="213" spans="1:4">
      <c r="A213">
        <v>0</v>
      </c>
      <c r="B213">
        <v>0</v>
      </c>
      <c r="C213">
        <v>0</v>
      </c>
      <c r="D213">
        <v>0</v>
      </c>
    </row>
    <row r="214" spans="1:4">
      <c r="A214">
        <v>0</v>
      </c>
      <c r="B214">
        <v>0</v>
      </c>
      <c r="C214">
        <v>0</v>
      </c>
      <c r="D214">
        <v>0</v>
      </c>
    </row>
    <row r="215" spans="1:4">
      <c r="A215">
        <v>0</v>
      </c>
      <c r="B215">
        <v>0</v>
      </c>
      <c r="C215">
        <v>0</v>
      </c>
      <c r="D215">
        <v>0</v>
      </c>
    </row>
    <row r="216" spans="1:4">
      <c r="A216">
        <v>0</v>
      </c>
      <c r="B216">
        <v>0</v>
      </c>
      <c r="C216">
        <v>0</v>
      </c>
      <c r="D216">
        <v>0</v>
      </c>
    </row>
    <row r="217" spans="1:4">
      <c r="A217">
        <v>0</v>
      </c>
      <c r="B217">
        <v>0</v>
      </c>
      <c r="C217">
        <v>0</v>
      </c>
      <c r="D217">
        <v>0</v>
      </c>
    </row>
    <row r="218" spans="1:4">
      <c r="A218">
        <v>0</v>
      </c>
      <c r="B218">
        <v>0</v>
      </c>
      <c r="C218">
        <v>0</v>
      </c>
      <c r="D218">
        <v>0</v>
      </c>
    </row>
    <row r="219" spans="1:4">
      <c r="A219">
        <v>0</v>
      </c>
      <c r="B219">
        <v>0</v>
      </c>
      <c r="C219">
        <v>0</v>
      </c>
      <c r="D219">
        <v>0</v>
      </c>
    </row>
    <row r="220" spans="1:4">
      <c r="A220">
        <v>0</v>
      </c>
      <c r="B220">
        <v>0</v>
      </c>
      <c r="C220">
        <v>0</v>
      </c>
      <c r="D220">
        <v>0</v>
      </c>
    </row>
    <row r="221" spans="1:4">
      <c r="A221">
        <v>0</v>
      </c>
      <c r="B221">
        <v>0</v>
      </c>
      <c r="C221">
        <v>0</v>
      </c>
      <c r="D221">
        <v>0</v>
      </c>
    </row>
    <row r="222" spans="1:4">
      <c r="A222">
        <v>0</v>
      </c>
      <c r="B222">
        <v>0</v>
      </c>
      <c r="C222">
        <v>0</v>
      </c>
      <c r="D222">
        <v>0</v>
      </c>
    </row>
    <row r="223" spans="1:4">
      <c r="A223">
        <v>0</v>
      </c>
      <c r="B223">
        <v>0</v>
      </c>
      <c r="C223">
        <v>0</v>
      </c>
      <c r="D223">
        <v>0</v>
      </c>
    </row>
    <row r="224" spans="1:4">
      <c r="A224">
        <v>0</v>
      </c>
      <c r="B224">
        <v>0</v>
      </c>
      <c r="C224">
        <v>0</v>
      </c>
      <c r="D224">
        <v>0</v>
      </c>
    </row>
    <row r="225" spans="1:4">
      <c r="A225">
        <v>0</v>
      </c>
      <c r="B225">
        <v>0</v>
      </c>
      <c r="C225">
        <v>0</v>
      </c>
      <c r="D225">
        <v>0</v>
      </c>
    </row>
    <row r="226" spans="1:4">
      <c r="A226">
        <v>0</v>
      </c>
      <c r="B226">
        <v>0</v>
      </c>
      <c r="C226">
        <v>0</v>
      </c>
      <c r="D226">
        <v>0</v>
      </c>
    </row>
    <row r="227" spans="1:4">
      <c r="A227">
        <v>0</v>
      </c>
      <c r="B227">
        <v>0</v>
      </c>
      <c r="C227">
        <v>0</v>
      </c>
      <c r="D227">
        <v>0</v>
      </c>
    </row>
    <row r="228" spans="1:4">
      <c r="A228">
        <v>0</v>
      </c>
      <c r="B228">
        <v>0</v>
      </c>
      <c r="C228">
        <v>0</v>
      </c>
      <c r="D228">
        <v>0</v>
      </c>
    </row>
    <row r="229" spans="1:4">
      <c r="A229">
        <v>0</v>
      </c>
      <c r="B229">
        <v>0</v>
      </c>
      <c r="C229">
        <v>0</v>
      </c>
      <c r="D229">
        <v>0</v>
      </c>
    </row>
    <row r="230" spans="1:4">
      <c r="A230">
        <v>0</v>
      </c>
      <c r="B230">
        <v>0</v>
      </c>
      <c r="C230">
        <v>0</v>
      </c>
      <c r="D230">
        <v>0</v>
      </c>
    </row>
    <row r="231" spans="1:4">
      <c r="A231">
        <v>0</v>
      </c>
      <c r="B231">
        <v>0</v>
      </c>
      <c r="C231">
        <v>0</v>
      </c>
      <c r="D231">
        <v>0</v>
      </c>
    </row>
    <row r="232" spans="1:4">
      <c r="A232">
        <v>0</v>
      </c>
      <c r="B232">
        <v>0</v>
      </c>
      <c r="C232">
        <v>0</v>
      </c>
      <c r="D232">
        <v>0</v>
      </c>
    </row>
    <row r="233" spans="1:4">
      <c r="A233">
        <v>0</v>
      </c>
      <c r="B233">
        <v>0</v>
      </c>
      <c r="C233">
        <v>0</v>
      </c>
      <c r="D233">
        <v>0</v>
      </c>
    </row>
    <row r="234" spans="1:4">
      <c r="A234">
        <v>0</v>
      </c>
      <c r="B234">
        <v>0</v>
      </c>
      <c r="C234">
        <v>0</v>
      </c>
      <c r="D234">
        <v>0</v>
      </c>
    </row>
    <row r="235" spans="1:4">
      <c r="A235">
        <v>0</v>
      </c>
      <c r="B235">
        <v>0</v>
      </c>
      <c r="C235">
        <v>0</v>
      </c>
      <c r="D235">
        <v>0</v>
      </c>
    </row>
    <row r="236" spans="1:4">
      <c r="A236">
        <v>0</v>
      </c>
      <c r="B236">
        <v>0</v>
      </c>
      <c r="C236">
        <v>0</v>
      </c>
      <c r="D236">
        <v>0</v>
      </c>
    </row>
    <row r="237" spans="1:4">
      <c r="A237">
        <v>0</v>
      </c>
      <c r="B237">
        <v>0</v>
      </c>
      <c r="C237">
        <v>0</v>
      </c>
      <c r="D237">
        <v>0</v>
      </c>
    </row>
    <row r="238" spans="1:4">
      <c r="A238">
        <v>0</v>
      </c>
      <c r="B238">
        <v>0</v>
      </c>
      <c r="C238">
        <v>0</v>
      </c>
      <c r="D238">
        <v>0</v>
      </c>
    </row>
    <row r="239" spans="1:4">
      <c r="A239">
        <v>0</v>
      </c>
      <c r="B239">
        <v>0</v>
      </c>
      <c r="C239">
        <v>0</v>
      </c>
      <c r="D239">
        <v>0</v>
      </c>
    </row>
    <row r="240" spans="1:4">
      <c r="A240">
        <v>0</v>
      </c>
      <c r="B240">
        <v>0</v>
      </c>
      <c r="C240">
        <v>0</v>
      </c>
      <c r="D240">
        <v>0</v>
      </c>
    </row>
    <row r="241" spans="1:4">
      <c r="A241">
        <v>0</v>
      </c>
      <c r="B241">
        <v>0</v>
      </c>
      <c r="C241">
        <v>0</v>
      </c>
      <c r="D241">
        <v>0</v>
      </c>
    </row>
    <row r="242" spans="1:4">
      <c r="A242">
        <v>0</v>
      </c>
      <c r="B242">
        <v>0</v>
      </c>
      <c r="C242">
        <v>0</v>
      </c>
      <c r="D242">
        <v>0</v>
      </c>
    </row>
    <row r="243" spans="1:4">
      <c r="A243">
        <v>0</v>
      </c>
      <c r="B243">
        <v>0</v>
      </c>
      <c r="C243">
        <v>0</v>
      </c>
      <c r="D243">
        <v>0</v>
      </c>
    </row>
    <row r="244" spans="1:4">
      <c r="A244">
        <v>0</v>
      </c>
      <c r="B244">
        <v>0</v>
      </c>
      <c r="C244">
        <v>0</v>
      </c>
      <c r="D244">
        <v>0</v>
      </c>
    </row>
    <row r="245" spans="1:4">
      <c r="A245">
        <v>0</v>
      </c>
      <c r="B245">
        <v>0</v>
      </c>
      <c r="C245">
        <v>0</v>
      </c>
      <c r="D245">
        <v>0</v>
      </c>
    </row>
    <row r="246" spans="1:4">
      <c r="A246">
        <v>0</v>
      </c>
      <c r="B246">
        <v>0</v>
      </c>
      <c r="C246">
        <v>0</v>
      </c>
      <c r="D246">
        <v>0</v>
      </c>
    </row>
    <row r="247" spans="1:4">
      <c r="A247">
        <v>0</v>
      </c>
      <c r="B247">
        <v>0</v>
      </c>
      <c r="C247">
        <v>0</v>
      </c>
      <c r="D247">
        <v>0</v>
      </c>
    </row>
    <row r="248" spans="1:4">
      <c r="A248">
        <v>0</v>
      </c>
      <c r="B248">
        <v>0</v>
      </c>
      <c r="C248">
        <v>0</v>
      </c>
      <c r="D248">
        <v>0</v>
      </c>
    </row>
    <row r="249" spans="1:4">
      <c r="A249">
        <v>0</v>
      </c>
      <c r="B249">
        <v>0</v>
      </c>
      <c r="C249">
        <v>0</v>
      </c>
      <c r="D249">
        <v>0</v>
      </c>
    </row>
    <row r="250" spans="1:4">
      <c r="A250">
        <v>0</v>
      </c>
      <c r="B250">
        <v>0</v>
      </c>
      <c r="C250">
        <v>0</v>
      </c>
      <c r="D250">
        <v>0</v>
      </c>
    </row>
    <row r="251" spans="1:4">
      <c r="A251">
        <v>0</v>
      </c>
      <c r="B251">
        <v>0</v>
      </c>
      <c r="C251">
        <v>0</v>
      </c>
      <c r="D251">
        <v>0</v>
      </c>
    </row>
    <row r="252" spans="1:4">
      <c r="A252">
        <v>0</v>
      </c>
      <c r="B252">
        <v>0</v>
      </c>
      <c r="C252">
        <v>0</v>
      </c>
      <c r="D252">
        <v>0</v>
      </c>
    </row>
    <row r="253" spans="1:4">
      <c r="A253">
        <v>0</v>
      </c>
      <c r="B253">
        <v>0</v>
      </c>
      <c r="C253">
        <v>0</v>
      </c>
      <c r="D253">
        <v>0</v>
      </c>
    </row>
    <row r="254" spans="1:4">
      <c r="A254">
        <v>0</v>
      </c>
      <c r="B254">
        <v>0</v>
      </c>
      <c r="C254">
        <v>0</v>
      </c>
      <c r="D254">
        <v>0</v>
      </c>
    </row>
    <row r="255" spans="1:4">
      <c r="A255">
        <v>0</v>
      </c>
      <c r="B255">
        <v>0</v>
      </c>
      <c r="C255">
        <v>0</v>
      </c>
      <c r="D255">
        <v>0</v>
      </c>
    </row>
    <row r="256" spans="1:4">
      <c r="A256">
        <v>0</v>
      </c>
      <c r="B256">
        <v>0</v>
      </c>
      <c r="C256">
        <v>0</v>
      </c>
      <c r="D256">
        <v>0</v>
      </c>
    </row>
    <row r="257" spans="1:4">
      <c r="A257">
        <v>0</v>
      </c>
      <c r="B257">
        <v>0</v>
      </c>
      <c r="C257">
        <v>0</v>
      </c>
      <c r="D257">
        <v>0</v>
      </c>
    </row>
    <row r="258" spans="1:4">
      <c r="A258">
        <v>0</v>
      </c>
      <c r="B258">
        <v>0</v>
      </c>
      <c r="C258">
        <v>0</v>
      </c>
      <c r="D258">
        <v>0</v>
      </c>
    </row>
    <row r="259" spans="1:4">
      <c r="A259">
        <v>0</v>
      </c>
      <c r="B259">
        <v>0</v>
      </c>
      <c r="C259">
        <v>0</v>
      </c>
      <c r="D259">
        <v>0</v>
      </c>
    </row>
    <row r="260" spans="1:4">
      <c r="A260">
        <v>0</v>
      </c>
      <c r="B260">
        <v>0</v>
      </c>
      <c r="C260">
        <v>0</v>
      </c>
      <c r="D260">
        <v>0</v>
      </c>
    </row>
    <row r="261" spans="1:4">
      <c r="A261">
        <v>0</v>
      </c>
      <c r="B261">
        <v>0</v>
      </c>
      <c r="C261">
        <v>0</v>
      </c>
      <c r="D261">
        <v>0</v>
      </c>
    </row>
    <row r="262" spans="1:4">
      <c r="A262">
        <v>0</v>
      </c>
      <c r="B262">
        <v>0</v>
      </c>
      <c r="C262">
        <v>0</v>
      </c>
      <c r="D262">
        <v>0</v>
      </c>
    </row>
    <row r="263" spans="1:4">
      <c r="A263">
        <v>0</v>
      </c>
      <c r="B263">
        <v>0</v>
      </c>
      <c r="C263">
        <v>0</v>
      </c>
      <c r="D263">
        <v>0</v>
      </c>
    </row>
    <row r="264" spans="1:4">
      <c r="A264">
        <v>0</v>
      </c>
      <c r="B264">
        <v>0</v>
      </c>
      <c r="C264">
        <v>0</v>
      </c>
      <c r="D264">
        <v>0</v>
      </c>
    </row>
    <row r="265" spans="1:4">
      <c r="A265">
        <v>0</v>
      </c>
      <c r="B265">
        <v>0</v>
      </c>
      <c r="C265">
        <v>0</v>
      </c>
      <c r="D265">
        <v>0</v>
      </c>
    </row>
    <row r="266" spans="1:4">
      <c r="A266">
        <v>0</v>
      </c>
      <c r="B266">
        <v>0</v>
      </c>
      <c r="C266">
        <v>0</v>
      </c>
      <c r="D266">
        <v>0</v>
      </c>
    </row>
    <row r="267" spans="1:4">
      <c r="A267">
        <v>0</v>
      </c>
      <c r="B267">
        <v>0</v>
      </c>
      <c r="C267">
        <v>0</v>
      </c>
      <c r="D267">
        <v>0</v>
      </c>
    </row>
    <row r="268" spans="1:4">
      <c r="A268">
        <v>0</v>
      </c>
      <c r="B268">
        <v>0</v>
      </c>
      <c r="C268">
        <v>0</v>
      </c>
      <c r="D268">
        <v>0</v>
      </c>
    </row>
    <row r="269" spans="1:4">
      <c r="A269">
        <v>0</v>
      </c>
      <c r="B269">
        <v>0</v>
      </c>
      <c r="C269">
        <v>0</v>
      </c>
      <c r="D269">
        <v>0</v>
      </c>
    </row>
    <row r="270" spans="1:4">
      <c r="A270">
        <v>0</v>
      </c>
      <c r="B270">
        <v>0</v>
      </c>
      <c r="C270">
        <v>0</v>
      </c>
      <c r="D270">
        <v>0</v>
      </c>
    </row>
    <row r="271" spans="1:4">
      <c r="A271">
        <v>0</v>
      </c>
      <c r="B271">
        <v>0</v>
      </c>
      <c r="C271">
        <v>0</v>
      </c>
      <c r="D271">
        <v>0</v>
      </c>
    </row>
    <row r="272" spans="1:4">
      <c r="A272">
        <v>0</v>
      </c>
      <c r="B272">
        <v>0</v>
      </c>
      <c r="C272">
        <v>0</v>
      </c>
      <c r="D272">
        <v>0</v>
      </c>
    </row>
    <row r="273" spans="1:4">
      <c r="A273">
        <v>0</v>
      </c>
      <c r="B273">
        <v>0</v>
      </c>
      <c r="C273">
        <v>0</v>
      </c>
      <c r="D273">
        <v>0</v>
      </c>
    </row>
    <row r="274" spans="1:4">
      <c r="A274">
        <v>0</v>
      </c>
      <c r="B274">
        <v>0</v>
      </c>
      <c r="C274">
        <v>0</v>
      </c>
      <c r="D274">
        <v>0</v>
      </c>
    </row>
    <row r="275" spans="1:4">
      <c r="A275">
        <v>0</v>
      </c>
      <c r="B275">
        <v>0</v>
      </c>
      <c r="C275">
        <v>0</v>
      </c>
      <c r="D275">
        <v>0</v>
      </c>
    </row>
    <row r="276" spans="1:4">
      <c r="A276">
        <v>0</v>
      </c>
      <c r="B276">
        <v>0</v>
      </c>
      <c r="C276">
        <v>0</v>
      </c>
      <c r="D276">
        <v>0</v>
      </c>
    </row>
    <row r="277" spans="1:4">
      <c r="A277">
        <v>0</v>
      </c>
      <c r="B277">
        <v>0</v>
      </c>
      <c r="C277">
        <v>0</v>
      </c>
      <c r="D277">
        <v>0</v>
      </c>
    </row>
    <row r="278" spans="1:4">
      <c r="A278">
        <v>0</v>
      </c>
      <c r="B278">
        <v>0</v>
      </c>
      <c r="C278">
        <v>0</v>
      </c>
      <c r="D278">
        <v>0</v>
      </c>
    </row>
    <row r="279" spans="1:4">
      <c r="A279">
        <v>0</v>
      </c>
      <c r="B279">
        <v>0</v>
      </c>
      <c r="C279">
        <v>0</v>
      </c>
      <c r="D279">
        <v>0</v>
      </c>
    </row>
    <row r="280" spans="1:4">
      <c r="A280">
        <v>0</v>
      </c>
      <c r="B280">
        <v>0</v>
      </c>
      <c r="C280">
        <v>0</v>
      </c>
      <c r="D280">
        <v>0</v>
      </c>
    </row>
    <row r="281" spans="1:4">
      <c r="A281">
        <v>0</v>
      </c>
      <c r="B281">
        <v>0</v>
      </c>
      <c r="C281">
        <v>0</v>
      </c>
      <c r="D281">
        <v>0</v>
      </c>
    </row>
    <row r="282" spans="1:4">
      <c r="A282">
        <v>0</v>
      </c>
      <c r="B282">
        <v>0</v>
      </c>
      <c r="C282">
        <v>0</v>
      </c>
      <c r="D282">
        <v>0</v>
      </c>
    </row>
    <row r="283" spans="1:4">
      <c r="A283">
        <v>0</v>
      </c>
      <c r="B283">
        <v>0</v>
      </c>
      <c r="C283">
        <v>0</v>
      </c>
      <c r="D283">
        <v>0</v>
      </c>
    </row>
    <row r="284" spans="1:4">
      <c r="A284">
        <v>0</v>
      </c>
      <c r="B284">
        <v>0</v>
      </c>
      <c r="C284">
        <v>0</v>
      </c>
      <c r="D284">
        <v>0</v>
      </c>
    </row>
    <row r="285" spans="1:4">
      <c r="A285">
        <v>0</v>
      </c>
      <c r="B285">
        <v>0</v>
      </c>
      <c r="C285">
        <v>0</v>
      </c>
      <c r="D285">
        <v>0</v>
      </c>
    </row>
    <row r="286" spans="1:4">
      <c r="A286">
        <v>0</v>
      </c>
      <c r="B286">
        <v>0</v>
      </c>
      <c r="C286">
        <v>0</v>
      </c>
      <c r="D286">
        <v>0</v>
      </c>
    </row>
    <row r="287" spans="1:4">
      <c r="A287">
        <v>0</v>
      </c>
      <c r="B287">
        <v>0</v>
      </c>
      <c r="C287">
        <v>0</v>
      </c>
      <c r="D287">
        <v>0</v>
      </c>
    </row>
    <row r="288" spans="1:4">
      <c r="A288">
        <v>0</v>
      </c>
      <c r="B288">
        <v>0</v>
      </c>
      <c r="C288">
        <v>0</v>
      </c>
      <c r="D288">
        <v>0</v>
      </c>
    </row>
    <row r="289" spans="1:4">
      <c r="A289">
        <v>0</v>
      </c>
      <c r="B289">
        <v>0</v>
      </c>
      <c r="C289">
        <v>0</v>
      </c>
      <c r="D289">
        <v>0</v>
      </c>
    </row>
    <row r="290" spans="1:4">
      <c r="A290">
        <v>0</v>
      </c>
      <c r="B290">
        <v>0</v>
      </c>
      <c r="C290">
        <v>0</v>
      </c>
      <c r="D290">
        <v>0</v>
      </c>
    </row>
    <row r="291" spans="1:4">
      <c r="A291">
        <v>0</v>
      </c>
      <c r="B291">
        <v>0</v>
      </c>
      <c r="C291">
        <v>0</v>
      </c>
      <c r="D291">
        <v>0</v>
      </c>
    </row>
    <row r="292" spans="1:4">
      <c r="A292">
        <v>0</v>
      </c>
      <c r="B292">
        <v>0</v>
      </c>
      <c r="C292">
        <v>0</v>
      </c>
      <c r="D292">
        <v>0</v>
      </c>
    </row>
    <row r="293" spans="1:4">
      <c r="A293">
        <v>0</v>
      </c>
      <c r="B293">
        <v>0</v>
      </c>
      <c r="C293">
        <v>0</v>
      </c>
      <c r="D293">
        <v>0</v>
      </c>
    </row>
    <row r="294" spans="1:4">
      <c r="A294">
        <v>0</v>
      </c>
      <c r="B294">
        <v>0</v>
      </c>
      <c r="C294">
        <v>0</v>
      </c>
      <c r="D294">
        <v>0</v>
      </c>
    </row>
    <row r="295" spans="1:4">
      <c r="A295">
        <v>0</v>
      </c>
      <c r="B295">
        <v>0</v>
      </c>
      <c r="C295">
        <v>0</v>
      </c>
      <c r="D295">
        <v>0</v>
      </c>
    </row>
    <row r="296" spans="1:4">
      <c r="A296">
        <v>0</v>
      </c>
      <c r="B296">
        <v>0</v>
      </c>
      <c r="C296">
        <v>0</v>
      </c>
      <c r="D296">
        <v>0</v>
      </c>
    </row>
    <row r="297" spans="1:4">
      <c r="A297">
        <v>0</v>
      </c>
      <c r="B297">
        <v>0</v>
      </c>
      <c r="C297">
        <v>0</v>
      </c>
      <c r="D297">
        <v>0</v>
      </c>
    </row>
    <row r="298" spans="1:4">
      <c r="A298">
        <v>0</v>
      </c>
      <c r="B298">
        <v>0</v>
      </c>
      <c r="C298">
        <v>0</v>
      </c>
      <c r="D298">
        <v>0</v>
      </c>
    </row>
    <row r="299" spans="1:4">
      <c r="A299">
        <v>0</v>
      </c>
      <c r="B299">
        <v>0</v>
      </c>
      <c r="C299">
        <v>0</v>
      </c>
      <c r="D299">
        <v>0</v>
      </c>
    </row>
    <row r="300" spans="1:4">
      <c r="A300">
        <v>0</v>
      </c>
      <c r="B300">
        <v>0</v>
      </c>
      <c r="C300">
        <v>0</v>
      </c>
      <c r="D300">
        <v>0</v>
      </c>
    </row>
    <row r="301" spans="1:4">
      <c r="A301">
        <v>0</v>
      </c>
      <c r="B301">
        <v>0</v>
      </c>
      <c r="C301">
        <v>0</v>
      </c>
      <c r="D301">
        <v>0</v>
      </c>
    </row>
    <row r="302" spans="1:4">
      <c r="A302">
        <v>0</v>
      </c>
      <c r="B302">
        <v>0</v>
      </c>
      <c r="C302">
        <v>0</v>
      </c>
      <c r="D302">
        <v>0</v>
      </c>
    </row>
    <row r="303" spans="1:4">
      <c r="A303">
        <v>0</v>
      </c>
      <c r="B303">
        <v>0</v>
      </c>
      <c r="C303">
        <v>0</v>
      </c>
      <c r="D303">
        <v>0</v>
      </c>
    </row>
    <row r="304" spans="1:4">
      <c r="A304">
        <v>0</v>
      </c>
      <c r="B304">
        <v>0</v>
      </c>
      <c r="C304">
        <v>0</v>
      </c>
      <c r="D304">
        <v>0</v>
      </c>
    </row>
    <row r="305" spans="1:4">
      <c r="A305">
        <v>0</v>
      </c>
      <c r="B305">
        <v>0</v>
      </c>
      <c r="C305">
        <v>0</v>
      </c>
      <c r="D305">
        <v>0</v>
      </c>
    </row>
    <row r="306" spans="1:4">
      <c r="A306">
        <v>0</v>
      </c>
      <c r="B306">
        <v>0</v>
      </c>
      <c r="C306">
        <v>0</v>
      </c>
      <c r="D306">
        <v>0</v>
      </c>
    </row>
    <row r="307" spans="1:4">
      <c r="A307">
        <v>0</v>
      </c>
      <c r="B307">
        <v>0</v>
      </c>
      <c r="C307">
        <v>0</v>
      </c>
      <c r="D307">
        <v>0</v>
      </c>
    </row>
    <row r="308" spans="1:4">
      <c r="A308">
        <v>0</v>
      </c>
      <c r="B308">
        <v>0</v>
      </c>
      <c r="C308">
        <v>0</v>
      </c>
      <c r="D308">
        <v>0</v>
      </c>
    </row>
    <row r="309" spans="1:4">
      <c r="A309">
        <v>0</v>
      </c>
      <c r="B309">
        <v>0</v>
      </c>
      <c r="C309">
        <v>0</v>
      </c>
      <c r="D309">
        <v>0</v>
      </c>
    </row>
    <row r="310" spans="1:4">
      <c r="A310">
        <v>0</v>
      </c>
      <c r="B310">
        <v>0</v>
      </c>
      <c r="C310">
        <v>0</v>
      </c>
      <c r="D310">
        <v>0</v>
      </c>
    </row>
    <row r="311" spans="1:4">
      <c r="A311">
        <v>0</v>
      </c>
      <c r="B311">
        <v>0</v>
      </c>
      <c r="C311">
        <v>0</v>
      </c>
      <c r="D311">
        <v>0</v>
      </c>
    </row>
    <row r="312" spans="1:4">
      <c r="A312">
        <v>0</v>
      </c>
      <c r="B312">
        <v>0</v>
      </c>
      <c r="C312">
        <v>0</v>
      </c>
      <c r="D312">
        <v>0</v>
      </c>
    </row>
    <row r="313" spans="1:4">
      <c r="A313">
        <v>0</v>
      </c>
      <c r="B313">
        <v>0</v>
      </c>
      <c r="C313">
        <v>0</v>
      </c>
      <c r="D313">
        <v>0</v>
      </c>
    </row>
    <row r="314" spans="1:4">
      <c r="A314">
        <v>0</v>
      </c>
      <c r="B314">
        <v>0</v>
      </c>
      <c r="C314">
        <v>0</v>
      </c>
      <c r="D314">
        <v>0</v>
      </c>
    </row>
    <row r="315" spans="1:4">
      <c r="A315">
        <v>0</v>
      </c>
      <c r="B315">
        <v>0</v>
      </c>
      <c r="C315">
        <v>0</v>
      </c>
      <c r="D315">
        <v>0</v>
      </c>
    </row>
    <row r="316" spans="1:4">
      <c r="A316">
        <v>0</v>
      </c>
      <c r="B316">
        <v>0</v>
      </c>
      <c r="C316">
        <v>0</v>
      </c>
      <c r="D316">
        <v>0</v>
      </c>
    </row>
    <row r="317" spans="1:4">
      <c r="A317">
        <v>0</v>
      </c>
      <c r="B317">
        <v>0</v>
      </c>
      <c r="C317">
        <v>0</v>
      </c>
      <c r="D317">
        <v>0</v>
      </c>
    </row>
    <row r="318" spans="1:4">
      <c r="A318">
        <v>0</v>
      </c>
      <c r="B318">
        <v>0</v>
      </c>
      <c r="C318">
        <v>0</v>
      </c>
      <c r="D318">
        <v>0</v>
      </c>
    </row>
    <row r="319" spans="1:4">
      <c r="A319">
        <v>0</v>
      </c>
      <c r="B319">
        <v>0</v>
      </c>
      <c r="C319">
        <v>0</v>
      </c>
      <c r="D319">
        <v>0</v>
      </c>
    </row>
    <row r="320" spans="1:4">
      <c r="A320">
        <v>0</v>
      </c>
      <c r="B320">
        <v>0</v>
      </c>
      <c r="C320">
        <v>0</v>
      </c>
      <c r="D320">
        <v>0</v>
      </c>
    </row>
    <row r="321" spans="1:4">
      <c r="A321">
        <v>0</v>
      </c>
      <c r="B321">
        <v>0</v>
      </c>
      <c r="C321">
        <v>0</v>
      </c>
      <c r="D321">
        <v>0</v>
      </c>
    </row>
    <row r="322" spans="1:4">
      <c r="A322">
        <v>0</v>
      </c>
      <c r="B322">
        <v>0</v>
      </c>
      <c r="C322">
        <v>0</v>
      </c>
      <c r="D322">
        <v>0</v>
      </c>
    </row>
    <row r="323" spans="1:4">
      <c r="A323">
        <v>0</v>
      </c>
      <c r="B323">
        <v>0</v>
      </c>
      <c r="C323">
        <v>0</v>
      </c>
      <c r="D323">
        <v>0</v>
      </c>
    </row>
    <row r="324" spans="1:4">
      <c r="A324">
        <v>0</v>
      </c>
      <c r="B324">
        <v>0</v>
      </c>
      <c r="C324">
        <v>0</v>
      </c>
      <c r="D324">
        <v>0</v>
      </c>
    </row>
    <row r="325" spans="1:4">
      <c r="A325">
        <v>0</v>
      </c>
      <c r="B325">
        <v>0</v>
      </c>
      <c r="C325">
        <v>0</v>
      </c>
      <c r="D325">
        <v>0</v>
      </c>
    </row>
    <row r="326" spans="1:4">
      <c r="A326">
        <v>0</v>
      </c>
      <c r="B326">
        <v>0</v>
      </c>
      <c r="C326">
        <v>0</v>
      </c>
      <c r="D326">
        <v>0</v>
      </c>
    </row>
    <row r="327" spans="1:4">
      <c r="A327">
        <v>0</v>
      </c>
      <c r="B327">
        <v>0</v>
      </c>
      <c r="C327">
        <v>0</v>
      </c>
      <c r="D327">
        <v>0</v>
      </c>
    </row>
    <row r="328" spans="1:4">
      <c r="A328">
        <v>0</v>
      </c>
      <c r="B328">
        <v>0</v>
      </c>
      <c r="C328">
        <v>0</v>
      </c>
      <c r="D328">
        <v>0</v>
      </c>
    </row>
    <row r="329" spans="1:4">
      <c r="A329">
        <v>0</v>
      </c>
      <c r="B329">
        <v>0</v>
      </c>
      <c r="C329">
        <v>0</v>
      </c>
      <c r="D329">
        <v>0</v>
      </c>
    </row>
    <row r="330" spans="1:4">
      <c r="A330">
        <v>0</v>
      </c>
      <c r="B330">
        <v>0</v>
      </c>
      <c r="C330">
        <v>0</v>
      </c>
      <c r="D330">
        <v>0</v>
      </c>
    </row>
    <row r="331" spans="1:4">
      <c r="A331">
        <v>0</v>
      </c>
      <c r="B331">
        <v>0</v>
      </c>
      <c r="C331">
        <v>0</v>
      </c>
      <c r="D331">
        <v>0</v>
      </c>
    </row>
  </sheetData>
  <sheetProtection password="E4E4" sheet="1" objects="1" scenarios="1"/>
  <mergeCells count="133">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 ref="F53:P53"/>
    <mergeCell ref="F54:P54"/>
    <mergeCell ref="F55:P55"/>
    <mergeCell ref="F56:P56"/>
    <mergeCell ref="F57:P57"/>
    <mergeCell ref="F58:P58"/>
    <mergeCell ref="F59:P59"/>
    <mergeCell ref="F60:P60"/>
    <mergeCell ref="F61:P61"/>
    <mergeCell ref="F62:P62"/>
    <mergeCell ref="F63:P63"/>
    <mergeCell ref="F64:P64"/>
    <mergeCell ref="F65:P65"/>
    <mergeCell ref="F66:P66"/>
    <mergeCell ref="F67:P67"/>
    <mergeCell ref="F68:P68"/>
    <mergeCell ref="F69:P69"/>
    <mergeCell ref="F70:P70"/>
    <mergeCell ref="F71:P71"/>
    <mergeCell ref="F72:P72"/>
    <mergeCell ref="F73:P73"/>
    <mergeCell ref="F74:P74"/>
    <mergeCell ref="F75:P75"/>
    <mergeCell ref="F76:P76"/>
    <mergeCell ref="F77:P77"/>
    <mergeCell ref="F78:P78"/>
    <mergeCell ref="F79:P79"/>
    <mergeCell ref="F80:P80"/>
    <mergeCell ref="F81:P81"/>
    <mergeCell ref="F82:P82"/>
    <mergeCell ref="F83:P83"/>
    <mergeCell ref="F84:P84"/>
    <mergeCell ref="F85:P85"/>
    <mergeCell ref="F86:P86"/>
    <mergeCell ref="F87:P87"/>
    <mergeCell ref="F88:P88"/>
    <mergeCell ref="F89:P89"/>
    <mergeCell ref="F90:P90"/>
    <mergeCell ref="F91:P91"/>
    <mergeCell ref="F92:P92"/>
    <mergeCell ref="F93:P93"/>
    <mergeCell ref="F94:P94"/>
    <mergeCell ref="F95:P95"/>
    <mergeCell ref="F96:P96"/>
    <mergeCell ref="F97:P97"/>
    <mergeCell ref="F98:P98"/>
    <mergeCell ref="F99:P99"/>
    <mergeCell ref="F100:P100"/>
    <mergeCell ref="F101:P101"/>
    <mergeCell ref="F102:P102"/>
    <mergeCell ref="F103:P103"/>
    <mergeCell ref="F104:P104"/>
    <mergeCell ref="F105:P105"/>
    <mergeCell ref="F106:P106"/>
    <mergeCell ref="F107:P107"/>
    <mergeCell ref="F108:P108"/>
    <mergeCell ref="F109:P109"/>
    <mergeCell ref="F110:P110"/>
    <mergeCell ref="F111:P111"/>
    <mergeCell ref="F112:P112"/>
    <mergeCell ref="F113:P113"/>
    <mergeCell ref="F114:P114"/>
    <mergeCell ref="F115:P115"/>
    <mergeCell ref="F116:P116"/>
    <mergeCell ref="F117:P117"/>
    <mergeCell ref="F118:P118"/>
    <mergeCell ref="F119:P119"/>
    <mergeCell ref="F120:P120"/>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V331"/>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768</v>
      </c>
    </row>
    <row r="2" spans="1:22">
      <c r="F2" s="15" t="s">
        <v>39</v>
      </c>
      <c r="G2" s="16" t="s">
        <v>40</v>
      </c>
      <c r="H2" s="16"/>
      <c r="I2" s="16"/>
      <c r="J2" s="16" t="s">
        <v>41</v>
      </c>
      <c r="K2" s="16"/>
      <c r="L2" s="16"/>
      <c r="M2" s="16" t="s">
        <v>42</v>
      </c>
      <c r="N2" s="16"/>
      <c r="O2" s="16"/>
      <c r="U2" t="s">
        <v>755</v>
      </c>
      <c r="V2">
        <f>CountIf(data_summary_by_question!D2:D321,$V$1)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769</v>
      </c>
      <c r="G10" s="20"/>
      <c r="H10" s="20"/>
      <c r="I10" s="20"/>
      <c r="J10" s="20"/>
      <c r="K10" s="20"/>
      <c r="L10" s="20"/>
      <c r="M10" s="20"/>
      <c r="N10" s="20"/>
      <c r="O10" s="20"/>
      <c r="P10" s="20"/>
    </row>
    <row r="11" spans="1:22" ht="48" customHeight="1">
      <c r="A11" cm="1">
        <f t="array" ref="A11:D331">_xlfn._xlws.FILTER(data_summary_by_question!A2:D321,data_summary_by_question!D2:D321=$V$1)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ht="48" customHeight="1">
      <c r="A53">
        <v>0</v>
      </c>
      <c r="B53">
        <v>0</v>
      </c>
      <c r="C53">
        <v>0</v>
      </c>
      <c r="D53">
        <v>0</v>
      </c>
      <c r="F53" s="27">
        <f>IF(U6,IF(V2&lt;=1,"", IF(ISNA(C53),"",A53&amp; " - " &amp; C53)),"")</f>
        <v>0</v>
      </c>
      <c r="G53" s="27"/>
      <c r="H53" s="27"/>
      <c r="I53" s="27"/>
      <c r="J53" s="27"/>
      <c r="K53" s="27"/>
      <c r="L53" s="27"/>
      <c r="M53" s="27"/>
      <c r="N53" s="27"/>
      <c r="O53" s="27"/>
      <c r="P53" s="27"/>
    </row>
    <row r="54" spans="1:16" ht="48" customHeight="1">
      <c r="A54">
        <v>0</v>
      </c>
      <c r="B54">
        <v>0</v>
      </c>
      <c r="C54">
        <v>0</v>
      </c>
      <c r="D54">
        <v>0</v>
      </c>
      <c r="F54" s="27">
        <f>IF(U6,IF(V2&lt;=1,"", IF(ISNA(C54),"",A54&amp; " - " &amp; C54)),"")</f>
        <v>0</v>
      </c>
      <c r="G54" s="27"/>
      <c r="H54" s="27"/>
      <c r="I54" s="27"/>
      <c r="J54" s="27"/>
      <c r="K54" s="27"/>
      <c r="L54" s="27"/>
      <c r="M54" s="27"/>
      <c r="N54" s="27"/>
      <c r="O54" s="27"/>
      <c r="P54" s="27"/>
    </row>
    <row r="55" spans="1:16" ht="48" customHeight="1">
      <c r="A55">
        <v>0</v>
      </c>
      <c r="B55">
        <v>0</v>
      </c>
      <c r="C55">
        <v>0</v>
      </c>
      <c r="D55">
        <v>0</v>
      </c>
      <c r="F55" s="27">
        <f>IF(U6,IF(V2&lt;=1,"", IF(ISNA(C55),"",A55&amp; " - " &amp; C55)),"")</f>
        <v>0</v>
      </c>
      <c r="G55" s="27"/>
      <c r="H55" s="27"/>
      <c r="I55" s="27"/>
      <c r="J55" s="27"/>
      <c r="K55" s="27"/>
      <c r="L55" s="27"/>
      <c r="M55" s="27"/>
      <c r="N55" s="27"/>
      <c r="O55" s="27"/>
      <c r="P55" s="27"/>
    </row>
    <row r="56" spans="1:16" ht="48" customHeight="1">
      <c r="A56">
        <v>0</v>
      </c>
      <c r="B56">
        <v>0</v>
      </c>
      <c r="C56">
        <v>0</v>
      </c>
      <c r="D56">
        <v>0</v>
      </c>
      <c r="F56" s="27">
        <f>IF(U6,IF(V2&lt;=1,"", IF(ISNA(C56),"",A56&amp; " - " &amp; C56)),"")</f>
        <v>0</v>
      </c>
      <c r="G56" s="27"/>
      <c r="H56" s="27"/>
      <c r="I56" s="27"/>
      <c r="J56" s="27"/>
      <c r="K56" s="27"/>
      <c r="L56" s="27"/>
      <c r="M56" s="27"/>
      <c r="N56" s="27"/>
      <c r="O56" s="27"/>
      <c r="P56" s="27"/>
    </row>
    <row r="57" spans="1:16" ht="48" customHeight="1">
      <c r="A57">
        <v>0</v>
      </c>
      <c r="B57">
        <v>0</v>
      </c>
      <c r="C57">
        <v>0</v>
      </c>
      <c r="D57">
        <v>0</v>
      </c>
      <c r="F57" s="27">
        <f>IF(U6,IF(V2&lt;=1,"", IF(ISNA(C57),"",A57&amp; " - " &amp; C57)),"")</f>
        <v>0</v>
      </c>
      <c r="G57" s="27"/>
      <c r="H57" s="27"/>
      <c r="I57" s="27"/>
      <c r="J57" s="27"/>
      <c r="K57" s="27"/>
      <c r="L57" s="27"/>
      <c r="M57" s="27"/>
      <c r="N57" s="27"/>
      <c r="O57" s="27"/>
      <c r="P57" s="27"/>
    </row>
    <row r="58" spans="1:16" ht="48" customHeight="1">
      <c r="A58">
        <v>0</v>
      </c>
      <c r="B58">
        <v>0</v>
      </c>
      <c r="C58">
        <v>0</v>
      </c>
      <c r="D58">
        <v>0</v>
      </c>
      <c r="F58" s="27">
        <f>IF(U6,IF(V2&lt;=1,"", IF(ISNA(C58),"",A58&amp; " - " &amp; C58)),"")</f>
        <v>0</v>
      </c>
      <c r="G58" s="27"/>
      <c r="H58" s="27"/>
      <c r="I58" s="27"/>
      <c r="J58" s="27"/>
      <c r="K58" s="27"/>
      <c r="L58" s="27"/>
      <c r="M58" s="27"/>
      <c r="N58" s="27"/>
      <c r="O58" s="27"/>
      <c r="P58" s="27"/>
    </row>
    <row r="59" spans="1:16" ht="48" customHeight="1">
      <c r="A59">
        <v>0</v>
      </c>
      <c r="B59">
        <v>0</v>
      </c>
      <c r="C59">
        <v>0</v>
      </c>
      <c r="D59">
        <v>0</v>
      </c>
      <c r="F59" s="27">
        <f>IF(U6,IF(V2&lt;=1,"", IF(ISNA(C59),"",A59&amp; " - " &amp; C59)),"")</f>
        <v>0</v>
      </c>
      <c r="G59" s="27"/>
      <c r="H59" s="27"/>
      <c r="I59" s="27"/>
      <c r="J59" s="27"/>
      <c r="K59" s="27"/>
      <c r="L59" s="27"/>
      <c r="M59" s="27"/>
      <c r="N59" s="27"/>
      <c r="O59" s="27"/>
      <c r="P59" s="27"/>
    </row>
    <row r="60" spans="1:16" ht="48" customHeight="1">
      <c r="A60">
        <v>0</v>
      </c>
      <c r="B60">
        <v>0</v>
      </c>
      <c r="C60">
        <v>0</v>
      </c>
      <c r="D60">
        <v>0</v>
      </c>
      <c r="F60" s="27">
        <f>IF(U6,IF(V2&lt;=1,"", IF(ISNA(C60),"",A60&amp; " - " &amp; C60)),"")</f>
        <v>0</v>
      </c>
      <c r="G60" s="27"/>
      <c r="H60" s="27"/>
      <c r="I60" s="27"/>
      <c r="J60" s="27"/>
      <c r="K60" s="27"/>
      <c r="L60" s="27"/>
      <c r="M60" s="27"/>
      <c r="N60" s="27"/>
      <c r="O60" s="27"/>
      <c r="P60" s="27"/>
    </row>
    <row r="61" spans="1:16" ht="48" customHeight="1">
      <c r="A61">
        <v>0</v>
      </c>
      <c r="B61">
        <v>0</v>
      </c>
      <c r="C61">
        <v>0</v>
      </c>
      <c r="D61">
        <v>0</v>
      </c>
      <c r="F61" s="27">
        <f>IF(U6,IF(V2&lt;=1,"", IF(ISNA(C61),"",A61&amp; " - " &amp; C61)),"")</f>
        <v>0</v>
      </c>
      <c r="G61" s="27"/>
      <c r="H61" s="27"/>
      <c r="I61" s="27"/>
      <c r="J61" s="27"/>
      <c r="K61" s="27"/>
      <c r="L61" s="27"/>
      <c r="M61" s="27"/>
      <c r="N61" s="27"/>
      <c r="O61" s="27"/>
      <c r="P61" s="27"/>
    </row>
    <row r="62" spans="1:16" ht="48" customHeight="1">
      <c r="A62">
        <v>0</v>
      </c>
      <c r="B62">
        <v>0</v>
      </c>
      <c r="C62">
        <v>0</v>
      </c>
      <c r="D62">
        <v>0</v>
      </c>
      <c r="F62" s="27">
        <f>IF(U6,IF(V2&lt;=1,"", IF(ISNA(C62),"",A62&amp; " - " &amp; C62)),"")</f>
        <v>0</v>
      </c>
      <c r="G62" s="27"/>
      <c r="H62" s="27"/>
      <c r="I62" s="27"/>
      <c r="J62" s="27"/>
      <c r="K62" s="27"/>
      <c r="L62" s="27"/>
      <c r="M62" s="27"/>
      <c r="N62" s="27"/>
      <c r="O62" s="27"/>
      <c r="P62" s="27"/>
    </row>
    <row r="63" spans="1:16" ht="48" customHeight="1">
      <c r="A63">
        <v>0</v>
      </c>
      <c r="B63">
        <v>0</v>
      </c>
      <c r="C63">
        <v>0</v>
      </c>
      <c r="D63">
        <v>0</v>
      </c>
      <c r="F63" s="27">
        <f>IF(U6,IF(V2&lt;=1,"", IF(ISNA(C63),"",A63&amp; " - " &amp; C63)),"")</f>
        <v>0</v>
      </c>
      <c r="G63" s="27"/>
      <c r="H63" s="27"/>
      <c r="I63" s="27"/>
      <c r="J63" s="27"/>
      <c r="K63" s="27"/>
      <c r="L63" s="27"/>
      <c r="M63" s="27"/>
      <c r="N63" s="27"/>
      <c r="O63" s="27"/>
      <c r="P63" s="27"/>
    </row>
    <row r="64" spans="1:16" ht="48" customHeight="1">
      <c r="A64">
        <v>0</v>
      </c>
      <c r="B64">
        <v>0</v>
      </c>
      <c r="C64">
        <v>0</v>
      </c>
      <c r="D64">
        <v>0</v>
      </c>
      <c r="F64" s="27">
        <f>IF(U6,IF(V2&lt;=1,"", IF(ISNA(C64),"",A64&amp; " - " &amp; C64)),"")</f>
        <v>0</v>
      </c>
      <c r="G64" s="27"/>
      <c r="H64" s="27"/>
      <c r="I64" s="27"/>
      <c r="J64" s="27"/>
      <c r="K64" s="27"/>
      <c r="L64" s="27"/>
      <c r="M64" s="27"/>
      <c r="N64" s="27"/>
      <c r="O64" s="27"/>
      <c r="P64" s="27"/>
    </row>
    <row r="65" spans="1:16" ht="48" customHeight="1">
      <c r="A65">
        <v>0</v>
      </c>
      <c r="B65">
        <v>0</v>
      </c>
      <c r="C65">
        <v>0</v>
      </c>
      <c r="D65">
        <v>0</v>
      </c>
      <c r="F65" s="27">
        <f>IF(U6,IF(V2&lt;=1,"", IF(ISNA(C65),"",A65&amp; " - " &amp; C65)),"")</f>
        <v>0</v>
      </c>
      <c r="G65" s="27"/>
      <c r="H65" s="27"/>
      <c r="I65" s="27"/>
      <c r="J65" s="27"/>
      <c r="K65" s="27"/>
      <c r="L65" s="27"/>
      <c r="M65" s="27"/>
      <c r="N65" s="27"/>
      <c r="O65" s="27"/>
      <c r="P65" s="27"/>
    </row>
    <row r="66" spans="1:16" ht="48" customHeight="1">
      <c r="A66">
        <v>0</v>
      </c>
      <c r="B66">
        <v>0</v>
      </c>
      <c r="C66">
        <v>0</v>
      </c>
      <c r="D66">
        <v>0</v>
      </c>
      <c r="F66" s="27">
        <f>IF(U6,IF(V2&lt;=1,"", IF(ISNA(C66),"",A66&amp; " - " &amp; C66)),"")</f>
        <v>0</v>
      </c>
      <c r="G66" s="27"/>
      <c r="H66" s="27"/>
      <c r="I66" s="27"/>
      <c r="J66" s="27"/>
      <c r="K66" s="27"/>
      <c r="L66" s="27"/>
      <c r="M66" s="27"/>
      <c r="N66" s="27"/>
      <c r="O66" s="27"/>
      <c r="P66" s="27"/>
    </row>
    <row r="67" spans="1:16" ht="48" customHeight="1">
      <c r="A67">
        <v>0</v>
      </c>
      <c r="B67">
        <v>0</v>
      </c>
      <c r="C67">
        <v>0</v>
      </c>
      <c r="D67">
        <v>0</v>
      </c>
      <c r="F67" s="27">
        <f>IF(U6,IF(V2&lt;=1,"", IF(ISNA(C67),"",A67&amp; " - " &amp; C67)),"")</f>
        <v>0</v>
      </c>
      <c r="G67" s="27"/>
      <c r="H67" s="27"/>
      <c r="I67" s="27"/>
      <c r="J67" s="27"/>
      <c r="K67" s="27"/>
      <c r="L67" s="27"/>
      <c r="M67" s="27"/>
      <c r="N67" s="27"/>
      <c r="O67" s="27"/>
      <c r="P67" s="27"/>
    </row>
    <row r="68" spans="1:16" ht="48" customHeight="1">
      <c r="A68">
        <v>0</v>
      </c>
      <c r="B68">
        <v>0</v>
      </c>
      <c r="C68">
        <v>0</v>
      </c>
      <c r="D68">
        <v>0</v>
      </c>
      <c r="F68" s="27">
        <f>IF(U6,IF(V2&lt;=1,"", IF(ISNA(C68),"",A68&amp; " - " &amp; C68)),"")</f>
        <v>0</v>
      </c>
      <c r="G68" s="27"/>
      <c r="H68" s="27"/>
      <c r="I68" s="27"/>
      <c r="J68" s="27"/>
      <c r="K68" s="27"/>
      <c r="L68" s="27"/>
      <c r="M68" s="27"/>
      <c r="N68" s="27"/>
      <c r="O68" s="27"/>
      <c r="P68" s="27"/>
    </row>
    <row r="69" spans="1:16" ht="48" customHeight="1">
      <c r="A69">
        <v>0</v>
      </c>
      <c r="B69">
        <v>0</v>
      </c>
      <c r="C69">
        <v>0</v>
      </c>
      <c r="D69">
        <v>0</v>
      </c>
      <c r="F69" s="27">
        <f>IF(U6,IF(V2&lt;=1,"", IF(ISNA(C69),"",A69&amp; " - " &amp; C69)),"")</f>
        <v>0</v>
      </c>
      <c r="G69" s="27"/>
      <c r="H69" s="27"/>
      <c r="I69" s="27"/>
      <c r="J69" s="27"/>
      <c r="K69" s="27"/>
      <c r="L69" s="27"/>
      <c r="M69" s="27"/>
      <c r="N69" s="27"/>
      <c r="O69" s="27"/>
      <c r="P69" s="27"/>
    </row>
    <row r="70" spans="1:16" ht="48" customHeight="1">
      <c r="A70">
        <v>0</v>
      </c>
      <c r="B70">
        <v>0</v>
      </c>
      <c r="C70">
        <v>0</v>
      </c>
      <c r="D70">
        <v>0</v>
      </c>
      <c r="F70" s="27">
        <f>IF(U6,IF(V2&lt;=1,"", IF(ISNA(C70),"",A70&amp; " - " &amp; C70)),"")</f>
        <v>0</v>
      </c>
      <c r="G70" s="27"/>
      <c r="H70" s="27"/>
      <c r="I70" s="27"/>
      <c r="J70" s="27"/>
      <c r="K70" s="27"/>
      <c r="L70" s="27"/>
      <c r="M70" s="27"/>
      <c r="N70" s="27"/>
      <c r="O70" s="27"/>
      <c r="P70" s="27"/>
    </row>
    <row r="71" spans="1:16" ht="48" customHeight="1">
      <c r="A71">
        <v>0</v>
      </c>
      <c r="B71">
        <v>0</v>
      </c>
      <c r="C71">
        <v>0</v>
      </c>
      <c r="D71">
        <v>0</v>
      </c>
      <c r="F71" s="27">
        <f>IF(U6,IF(V2&lt;=1,"", IF(ISNA(C71),"",A71&amp; " - " &amp; C71)),"")</f>
        <v>0</v>
      </c>
      <c r="G71" s="27"/>
      <c r="H71" s="27"/>
      <c r="I71" s="27"/>
      <c r="J71" s="27"/>
      <c r="K71" s="27"/>
      <c r="L71" s="27"/>
      <c r="M71" s="27"/>
      <c r="N71" s="27"/>
      <c r="O71" s="27"/>
      <c r="P71" s="27"/>
    </row>
    <row r="72" spans="1:16" ht="48" customHeight="1">
      <c r="A72">
        <v>0</v>
      </c>
      <c r="B72">
        <v>0</v>
      </c>
      <c r="C72">
        <v>0</v>
      </c>
      <c r="D72">
        <v>0</v>
      </c>
      <c r="F72" s="27">
        <f>IF(U6,IF(V2&lt;=1,"", IF(ISNA(C72),"",A72&amp; " - " &amp; C72)),"")</f>
        <v>0</v>
      </c>
      <c r="G72" s="27"/>
      <c r="H72" s="27"/>
      <c r="I72" s="27"/>
      <c r="J72" s="27"/>
      <c r="K72" s="27"/>
      <c r="L72" s="27"/>
      <c r="M72" s="27"/>
      <c r="N72" s="27"/>
      <c r="O72" s="27"/>
      <c r="P72" s="27"/>
    </row>
    <row r="73" spans="1:16" ht="48" customHeight="1">
      <c r="A73">
        <v>0</v>
      </c>
      <c r="B73">
        <v>0</v>
      </c>
      <c r="C73">
        <v>0</v>
      </c>
      <c r="D73">
        <v>0</v>
      </c>
      <c r="F73" s="27">
        <f>IF(U6,IF(V2&lt;=1,"", IF(ISNA(C73),"",A73&amp; " - " &amp; C73)),"")</f>
        <v>0</v>
      </c>
      <c r="G73" s="27"/>
      <c r="H73" s="27"/>
      <c r="I73" s="27"/>
      <c r="J73" s="27"/>
      <c r="K73" s="27"/>
      <c r="L73" s="27"/>
      <c r="M73" s="27"/>
      <c r="N73" s="27"/>
      <c r="O73" s="27"/>
      <c r="P73" s="27"/>
    </row>
    <row r="74" spans="1:16" ht="48" customHeight="1">
      <c r="A74">
        <v>0</v>
      </c>
      <c r="B74">
        <v>0</v>
      </c>
      <c r="C74">
        <v>0</v>
      </c>
      <c r="D74">
        <v>0</v>
      </c>
      <c r="F74" s="27">
        <f>IF(U6,IF(V2&lt;=1,"", IF(ISNA(C74),"",A74&amp; " - " &amp; C74)),"")</f>
        <v>0</v>
      </c>
      <c r="G74" s="27"/>
      <c r="H74" s="27"/>
      <c r="I74" s="27"/>
      <c r="J74" s="27"/>
      <c r="K74" s="27"/>
      <c r="L74" s="27"/>
      <c r="M74" s="27"/>
      <c r="N74" s="27"/>
      <c r="O74" s="27"/>
      <c r="P74" s="27"/>
    </row>
    <row r="75" spans="1:16" ht="48" customHeight="1">
      <c r="A75">
        <v>0</v>
      </c>
      <c r="B75">
        <v>0</v>
      </c>
      <c r="C75">
        <v>0</v>
      </c>
      <c r="D75">
        <v>0</v>
      </c>
      <c r="F75" s="27">
        <f>IF(U6,IF(V2&lt;=1,"", IF(ISNA(C75),"",A75&amp; " - " &amp; C75)),"")</f>
        <v>0</v>
      </c>
      <c r="G75" s="27"/>
      <c r="H75" s="27"/>
      <c r="I75" s="27"/>
      <c r="J75" s="27"/>
      <c r="K75" s="27"/>
      <c r="L75" s="27"/>
      <c r="M75" s="27"/>
      <c r="N75" s="27"/>
      <c r="O75" s="27"/>
      <c r="P75" s="27"/>
    </row>
    <row r="76" spans="1:16" ht="48" customHeight="1">
      <c r="A76">
        <v>0</v>
      </c>
      <c r="B76">
        <v>0</v>
      </c>
      <c r="C76">
        <v>0</v>
      </c>
      <c r="D76">
        <v>0</v>
      </c>
      <c r="F76" s="27">
        <f>IF(U6,IF(V2&lt;=1,"", IF(ISNA(C76),"",A76&amp; " - " &amp; C76)),"")</f>
        <v>0</v>
      </c>
      <c r="G76" s="27"/>
      <c r="H76" s="27"/>
      <c r="I76" s="27"/>
      <c r="J76" s="27"/>
      <c r="K76" s="27"/>
      <c r="L76" s="27"/>
      <c r="M76" s="27"/>
      <c r="N76" s="27"/>
      <c r="O76" s="27"/>
      <c r="P76" s="27"/>
    </row>
    <row r="77" spans="1:16" ht="48" customHeight="1">
      <c r="A77">
        <v>0</v>
      </c>
      <c r="B77">
        <v>0</v>
      </c>
      <c r="C77">
        <v>0</v>
      </c>
      <c r="D77">
        <v>0</v>
      </c>
      <c r="F77" s="27">
        <f>IF(U6,IF(V2&lt;=1,"", IF(ISNA(C77),"",A77&amp; " - " &amp; C77)),"")</f>
        <v>0</v>
      </c>
      <c r="G77" s="27"/>
      <c r="H77" s="27"/>
      <c r="I77" s="27"/>
      <c r="J77" s="27"/>
      <c r="K77" s="27"/>
      <c r="L77" s="27"/>
      <c r="M77" s="27"/>
      <c r="N77" s="27"/>
      <c r="O77" s="27"/>
      <c r="P77" s="27"/>
    </row>
    <row r="78" spans="1:16" ht="48" customHeight="1">
      <c r="A78">
        <v>0</v>
      </c>
      <c r="B78">
        <v>0</v>
      </c>
      <c r="C78">
        <v>0</v>
      </c>
      <c r="D78">
        <v>0</v>
      </c>
      <c r="F78" s="27">
        <f>IF(U6,IF(V2&lt;=1,"", IF(ISNA(C78),"",A78&amp; " - " &amp; C78)),"")</f>
        <v>0</v>
      </c>
      <c r="G78" s="27"/>
      <c r="H78" s="27"/>
      <c r="I78" s="27"/>
      <c r="J78" s="27"/>
      <c r="K78" s="27"/>
      <c r="L78" s="27"/>
      <c r="M78" s="27"/>
      <c r="N78" s="27"/>
      <c r="O78" s="27"/>
      <c r="P78" s="27"/>
    </row>
    <row r="79" spans="1:16" ht="48" customHeight="1">
      <c r="A79">
        <v>0</v>
      </c>
      <c r="B79">
        <v>0</v>
      </c>
      <c r="C79">
        <v>0</v>
      </c>
      <c r="D79">
        <v>0</v>
      </c>
      <c r="F79" s="27">
        <f>IF(U6,IF(V2&lt;=1,"", IF(ISNA(C79),"",A79&amp; " - " &amp; C79)),"")</f>
        <v>0</v>
      </c>
      <c r="G79" s="27"/>
      <c r="H79" s="27"/>
      <c r="I79" s="27"/>
      <c r="J79" s="27"/>
      <c r="K79" s="27"/>
      <c r="L79" s="27"/>
      <c r="M79" s="27"/>
      <c r="N79" s="27"/>
      <c r="O79" s="27"/>
      <c r="P79" s="27"/>
    </row>
    <row r="80" spans="1:16" ht="48" customHeight="1">
      <c r="A80">
        <v>0</v>
      </c>
      <c r="B80">
        <v>0</v>
      </c>
      <c r="C80">
        <v>0</v>
      </c>
      <c r="D80">
        <v>0</v>
      </c>
      <c r="F80" s="27">
        <f>IF(U6,IF(V2&lt;=1,"", IF(ISNA(C80),"",A80&amp; " - " &amp; C80)),"")</f>
        <v>0</v>
      </c>
      <c r="G80" s="27"/>
      <c r="H80" s="27"/>
      <c r="I80" s="27"/>
      <c r="J80" s="27"/>
      <c r="K80" s="27"/>
      <c r="L80" s="27"/>
      <c r="M80" s="27"/>
      <c r="N80" s="27"/>
      <c r="O80" s="27"/>
      <c r="P80" s="27"/>
    </row>
    <row r="81" spans="1:16" ht="48" customHeight="1">
      <c r="A81">
        <v>0</v>
      </c>
      <c r="B81">
        <v>0</v>
      </c>
      <c r="C81">
        <v>0</v>
      </c>
      <c r="D81">
        <v>0</v>
      </c>
      <c r="F81" s="27">
        <f>IF(U6,IF(V2&lt;=1,"", IF(ISNA(C81),"",A81&amp; " - " &amp; C81)),"")</f>
        <v>0</v>
      </c>
      <c r="G81" s="27"/>
      <c r="H81" s="27"/>
      <c r="I81" s="27"/>
      <c r="J81" s="27"/>
      <c r="K81" s="27"/>
      <c r="L81" s="27"/>
      <c r="M81" s="27"/>
      <c r="N81" s="27"/>
      <c r="O81" s="27"/>
      <c r="P81" s="27"/>
    </row>
    <row r="82" spans="1:16" ht="48" customHeight="1">
      <c r="A82">
        <v>0</v>
      </c>
      <c r="B82">
        <v>0</v>
      </c>
      <c r="C82">
        <v>0</v>
      </c>
      <c r="D82">
        <v>0</v>
      </c>
      <c r="F82" s="27">
        <f>IF(U6,IF(V2&lt;=1,"", IF(ISNA(C82),"",A82&amp; " - " &amp; C82)),"")</f>
        <v>0</v>
      </c>
      <c r="G82" s="27"/>
      <c r="H82" s="27"/>
      <c r="I82" s="27"/>
      <c r="J82" s="27"/>
      <c r="K82" s="27"/>
      <c r="L82" s="27"/>
      <c r="M82" s="27"/>
      <c r="N82" s="27"/>
      <c r="O82" s="27"/>
      <c r="P82" s="27"/>
    </row>
    <row r="83" spans="1:16" ht="48" customHeight="1">
      <c r="A83">
        <v>0</v>
      </c>
      <c r="B83">
        <v>0</v>
      </c>
      <c r="C83">
        <v>0</v>
      </c>
      <c r="D83">
        <v>0</v>
      </c>
      <c r="F83" s="27">
        <f>IF(U6,IF(V2&lt;=1,"", IF(ISNA(C83),"",A83&amp; " - " &amp; C83)),"")</f>
        <v>0</v>
      </c>
      <c r="G83" s="27"/>
      <c r="H83" s="27"/>
      <c r="I83" s="27"/>
      <c r="J83" s="27"/>
      <c r="K83" s="27"/>
      <c r="L83" s="27"/>
      <c r="M83" s="27"/>
      <c r="N83" s="27"/>
      <c r="O83" s="27"/>
      <c r="P83" s="27"/>
    </row>
    <row r="84" spans="1:16" ht="48" customHeight="1">
      <c r="A84">
        <v>0</v>
      </c>
      <c r="B84">
        <v>0</v>
      </c>
      <c r="C84">
        <v>0</v>
      </c>
      <c r="D84">
        <v>0</v>
      </c>
      <c r="F84" s="27">
        <f>IF(U6,IF(V2&lt;=1,"", IF(ISNA(C84),"",A84&amp; " - " &amp; C84)),"")</f>
        <v>0</v>
      </c>
      <c r="G84" s="27"/>
      <c r="H84" s="27"/>
      <c r="I84" s="27"/>
      <c r="J84" s="27"/>
      <c r="K84" s="27"/>
      <c r="L84" s="27"/>
      <c r="M84" s="27"/>
      <c r="N84" s="27"/>
      <c r="O84" s="27"/>
      <c r="P84" s="27"/>
    </row>
    <row r="85" spans="1:16" ht="48" customHeight="1">
      <c r="A85">
        <v>0</v>
      </c>
      <c r="B85">
        <v>0</v>
      </c>
      <c r="C85">
        <v>0</v>
      </c>
      <c r="D85">
        <v>0</v>
      </c>
      <c r="F85" s="27">
        <f>IF(U6,IF(V2&lt;=1,"", IF(ISNA(C85),"",A85&amp; " - " &amp; C85)),"")</f>
        <v>0</v>
      </c>
      <c r="G85" s="27"/>
      <c r="H85" s="27"/>
      <c r="I85" s="27"/>
      <c r="J85" s="27"/>
      <c r="K85" s="27"/>
      <c r="L85" s="27"/>
      <c r="M85" s="27"/>
      <c r="N85" s="27"/>
      <c r="O85" s="27"/>
      <c r="P85" s="27"/>
    </row>
    <row r="86" spans="1:16" ht="48" customHeight="1">
      <c r="A86">
        <v>0</v>
      </c>
      <c r="B86">
        <v>0</v>
      </c>
      <c r="C86">
        <v>0</v>
      </c>
      <c r="D86">
        <v>0</v>
      </c>
      <c r="F86" s="27">
        <f>IF(U6,IF(V2&lt;=1,"", IF(ISNA(C86),"",A86&amp; " - " &amp; C86)),"")</f>
        <v>0</v>
      </c>
      <c r="G86" s="27"/>
      <c r="H86" s="27"/>
      <c r="I86" s="27"/>
      <c r="J86" s="27"/>
      <c r="K86" s="27"/>
      <c r="L86" s="27"/>
      <c r="M86" s="27"/>
      <c r="N86" s="27"/>
      <c r="O86" s="27"/>
      <c r="P86" s="27"/>
    </row>
    <row r="87" spans="1:16" ht="48" customHeight="1">
      <c r="A87">
        <v>0</v>
      </c>
      <c r="B87">
        <v>0</v>
      </c>
      <c r="C87">
        <v>0</v>
      </c>
      <c r="D87">
        <v>0</v>
      </c>
      <c r="F87" s="27">
        <f>IF(U6,IF(V2&lt;=1,"", IF(ISNA(C87),"",A87&amp; " - " &amp; C87)),"")</f>
        <v>0</v>
      </c>
      <c r="G87" s="27"/>
      <c r="H87" s="27"/>
      <c r="I87" s="27"/>
      <c r="J87" s="27"/>
      <c r="K87" s="27"/>
      <c r="L87" s="27"/>
      <c r="M87" s="27"/>
      <c r="N87" s="27"/>
      <c r="O87" s="27"/>
      <c r="P87" s="27"/>
    </row>
    <row r="88" spans="1:16" ht="48" customHeight="1">
      <c r="A88">
        <v>0</v>
      </c>
      <c r="B88">
        <v>0</v>
      </c>
      <c r="C88">
        <v>0</v>
      </c>
      <c r="D88">
        <v>0</v>
      </c>
      <c r="F88" s="27">
        <f>IF(U6,IF(V2&lt;=1,"", IF(ISNA(C88),"",A88&amp; " - " &amp; C88)),"")</f>
        <v>0</v>
      </c>
      <c r="G88" s="27"/>
      <c r="H88" s="27"/>
      <c r="I88" s="27"/>
      <c r="J88" s="27"/>
      <c r="K88" s="27"/>
      <c r="L88" s="27"/>
      <c r="M88" s="27"/>
      <c r="N88" s="27"/>
      <c r="O88" s="27"/>
      <c r="P88" s="27"/>
    </row>
    <row r="89" spans="1:16" ht="48" customHeight="1">
      <c r="A89">
        <v>0</v>
      </c>
      <c r="B89">
        <v>0</v>
      </c>
      <c r="C89">
        <v>0</v>
      </c>
      <c r="D89">
        <v>0</v>
      </c>
      <c r="F89" s="27">
        <f>IF(U6,IF(V2&lt;=1,"", IF(ISNA(C89),"",A89&amp; " - " &amp; C89)),"")</f>
        <v>0</v>
      </c>
      <c r="G89" s="27"/>
      <c r="H89" s="27"/>
      <c r="I89" s="27"/>
      <c r="J89" s="27"/>
      <c r="K89" s="27"/>
      <c r="L89" s="27"/>
      <c r="M89" s="27"/>
      <c r="N89" s="27"/>
      <c r="O89" s="27"/>
      <c r="P89" s="27"/>
    </row>
    <row r="90" spans="1:16" ht="48" customHeight="1">
      <c r="A90">
        <v>0</v>
      </c>
      <c r="B90">
        <v>0</v>
      </c>
      <c r="C90">
        <v>0</v>
      </c>
      <c r="D90">
        <v>0</v>
      </c>
      <c r="F90" s="27">
        <f>IF(U6,IF(V2&lt;=1,"", IF(ISNA(C90),"",A90&amp; " - " &amp; C90)),"")</f>
        <v>0</v>
      </c>
      <c r="G90" s="27"/>
      <c r="H90" s="27"/>
      <c r="I90" s="27"/>
      <c r="J90" s="27"/>
      <c r="K90" s="27"/>
      <c r="L90" s="27"/>
      <c r="M90" s="27"/>
      <c r="N90" s="27"/>
      <c r="O90" s="27"/>
      <c r="P90" s="27"/>
    </row>
    <row r="91" spans="1:16" ht="48" customHeight="1">
      <c r="A91">
        <v>0</v>
      </c>
      <c r="B91">
        <v>0</v>
      </c>
      <c r="C91">
        <v>0</v>
      </c>
      <c r="D91">
        <v>0</v>
      </c>
      <c r="F91" s="27">
        <f>IF(U6,IF(V2&lt;=1,"", IF(ISNA(C91),"",A91&amp; " - " &amp; C91)),"")</f>
        <v>0</v>
      </c>
      <c r="G91" s="27"/>
      <c r="H91" s="27"/>
      <c r="I91" s="27"/>
      <c r="J91" s="27"/>
      <c r="K91" s="27"/>
      <c r="L91" s="27"/>
      <c r="M91" s="27"/>
      <c r="N91" s="27"/>
      <c r="O91" s="27"/>
      <c r="P91" s="27"/>
    </row>
    <row r="92" spans="1:16" ht="48" customHeight="1">
      <c r="A92">
        <v>0</v>
      </c>
      <c r="B92">
        <v>0</v>
      </c>
      <c r="C92">
        <v>0</v>
      </c>
      <c r="D92">
        <v>0</v>
      </c>
      <c r="F92" s="27">
        <f>IF(U6,IF(V2&lt;=1,"", IF(ISNA(C92),"",A92&amp; " - " &amp; C92)),"")</f>
        <v>0</v>
      </c>
      <c r="G92" s="27"/>
      <c r="H92" s="27"/>
      <c r="I92" s="27"/>
      <c r="J92" s="27"/>
      <c r="K92" s="27"/>
      <c r="L92" s="27"/>
      <c r="M92" s="27"/>
      <c r="N92" s="27"/>
      <c r="O92" s="27"/>
      <c r="P92" s="27"/>
    </row>
    <row r="93" spans="1:16" ht="48" customHeight="1">
      <c r="A93">
        <v>0</v>
      </c>
      <c r="B93">
        <v>0</v>
      </c>
      <c r="C93">
        <v>0</v>
      </c>
      <c r="D93">
        <v>0</v>
      </c>
      <c r="F93" s="27">
        <f>IF(U6,IF(V2&lt;=1,"", IF(ISNA(C93),"",A93&amp; " - " &amp; C93)),"")</f>
        <v>0</v>
      </c>
      <c r="G93" s="27"/>
      <c r="H93" s="27"/>
      <c r="I93" s="27"/>
      <c r="J93" s="27"/>
      <c r="K93" s="27"/>
      <c r="L93" s="27"/>
      <c r="M93" s="27"/>
      <c r="N93" s="27"/>
      <c r="O93" s="27"/>
      <c r="P93" s="27"/>
    </row>
    <row r="94" spans="1:16" ht="48" customHeight="1">
      <c r="A94">
        <v>0</v>
      </c>
      <c r="B94">
        <v>0</v>
      </c>
      <c r="C94">
        <v>0</v>
      </c>
      <c r="D94">
        <v>0</v>
      </c>
      <c r="F94" s="27">
        <f>IF(U6,IF(V2&lt;=1,"", IF(ISNA(C94),"",A94&amp; " - " &amp; C94)),"")</f>
        <v>0</v>
      </c>
      <c r="G94" s="27"/>
      <c r="H94" s="27"/>
      <c r="I94" s="27"/>
      <c r="J94" s="27"/>
      <c r="K94" s="27"/>
      <c r="L94" s="27"/>
      <c r="M94" s="27"/>
      <c r="N94" s="27"/>
      <c r="O94" s="27"/>
      <c r="P94" s="27"/>
    </row>
    <row r="95" spans="1:16" ht="48" customHeight="1">
      <c r="A95">
        <v>0</v>
      </c>
      <c r="B95">
        <v>0</v>
      </c>
      <c r="C95">
        <v>0</v>
      </c>
      <c r="D95">
        <v>0</v>
      </c>
      <c r="F95" s="27">
        <f>IF(U6,IF(V2&lt;=1,"", IF(ISNA(C95),"",A95&amp; " - " &amp; C95)),"")</f>
        <v>0</v>
      </c>
      <c r="G95" s="27"/>
      <c r="H95" s="27"/>
      <c r="I95" s="27"/>
      <c r="J95" s="27"/>
      <c r="K95" s="27"/>
      <c r="L95" s="27"/>
      <c r="M95" s="27"/>
      <c r="N95" s="27"/>
      <c r="O95" s="27"/>
      <c r="P95" s="27"/>
    </row>
    <row r="96" spans="1:16" ht="48" customHeight="1">
      <c r="A96">
        <v>0</v>
      </c>
      <c r="B96">
        <v>0</v>
      </c>
      <c r="C96">
        <v>0</v>
      </c>
      <c r="D96">
        <v>0</v>
      </c>
      <c r="F96" s="27">
        <f>IF(U6,IF(V2&lt;=1,"", IF(ISNA(C96),"",A96&amp; " - " &amp; C96)),"")</f>
        <v>0</v>
      </c>
      <c r="G96" s="27"/>
      <c r="H96" s="27"/>
      <c r="I96" s="27"/>
      <c r="J96" s="27"/>
      <c r="K96" s="27"/>
      <c r="L96" s="27"/>
      <c r="M96" s="27"/>
      <c r="N96" s="27"/>
      <c r="O96" s="27"/>
      <c r="P96" s="27"/>
    </row>
    <row r="97" spans="1:16" ht="48" customHeight="1">
      <c r="A97">
        <v>0</v>
      </c>
      <c r="B97">
        <v>0</v>
      </c>
      <c r="C97">
        <v>0</v>
      </c>
      <c r="D97">
        <v>0</v>
      </c>
      <c r="F97" s="27">
        <f>IF(U6,IF(V2&lt;=1,"", IF(ISNA(C97),"",A97&amp; " - " &amp; C97)),"")</f>
        <v>0</v>
      </c>
      <c r="G97" s="27"/>
      <c r="H97" s="27"/>
      <c r="I97" s="27"/>
      <c r="J97" s="27"/>
      <c r="K97" s="27"/>
      <c r="L97" s="27"/>
      <c r="M97" s="27"/>
      <c r="N97" s="27"/>
      <c r="O97" s="27"/>
      <c r="P97" s="27"/>
    </row>
    <row r="98" spans="1:16" ht="48" customHeight="1">
      <c r="A98">
        <v>0</v>
      </c>
      <c r="B98">
        <v>0</v>
      </c>
      <c r="C98">
        <v>0</v>
      </c>
      <c r="D98">
        <v>0</v>
      </c>
      <c r="F98" s="27">
        <f>IF(U6,IF(V2&lt;=1,"", IF(ISNA(C98),"",A98&amp; " - " &amp; C98)),"")</f>
        <v>0</v>
      </c>
      <c r="G98" s="27"/>
      <c r="H98" s="27"/>
      <c r="I98" s="27"/>
      <c r="J98" s="27"/>
      <c r="K98" s="27"/>
      <c r="L98" s="27"/>
      <c r="M98" s="27"/>
      <c r="N98" s="27"/>
      <c r="O98" s="27"/>
      <c r="P98" s="27"/>
    </row>
    <row r="99" spans="1:16" ht="48" customHeight="1">
      <c r="A99">
        <v>0</v>
      </c>
      <c r="B99">
        <v>0</v>
      </c>
      <c r="C99">
        <v>0</v>
      </c>
      <c r="D99">
        <v>0</v>
      </c>
      <c r="F99" s="27">
        <f>IF(U6,IF(V2&lt;=1,"", IF(ISNA(C99),"",A99&amp; " - " &amp; C99)),"")</f>
        <v>0</v>
      </c>
      <c r="G99" s="27"/>
      <c r="H99" s="27"/>
      <c r="I99" s="27"/>
      <c r="J99" s="27"/>
      <c r="K99" s="27"/>
      <c r="L99" s="27"/>
      <c r="M99" s="27"/>
      <c r="N99" s="27"/>
      <c r="O99" s="27"/>
      <c r="P99" s="27"/>
    </row>
    <row r="100" spans="1:16" ht="48" customHeight="1">
      <c r="A100">
        <v>0</v>
      </c>
      <c r="B100">
        <v>0</v>
      </c>
      <c r="C100">
        <v>0</v>
      </c>
      <c r="D100">
        <v>0</v>
      </c>
      <c r="F100" s="27">
        <f>IF(U6,IF(V2&lt;=1,"", IF(ISNA(C100),"",A100&amp; " - " &amp; C100)),"")</f>
        <v>0</v>
      </c>
      <c r="G100" s="27"/>
      <c r="H100" s="27"/>
      <c r="I100" s="27"/>
      <c r="J100" s="27"/>
      <c r="K100" s="27"/>
      <c r="L100" s="27"/>
      <c r="M100" s="27"/>
      <c r="N100" s="27"/>
      <c r="O100" s="27"/>
      <c r="P100" s="27"/>
    </row>
    <row r="101" spans="1:16" ht="48" customHeight="1">
      <c r="A101">
        <v>0</v>
      </c>
      <c r="B101">
        <v>0</v>
      </c>
      <c r="C101">
        <v>0</v>
      </c>
      <c r="D101">
        <v>0</v>
      </c>
      <c r="F101" s="27">
        <f>IF(U6,IF(V2&lt;=1,"", IF(ISNA(C101),"",A101&amp; " - " &amp; C101)),"")</f>
        <v>0</v>
      </c>
      <c r="G101" s="27"/>
      <c r="H101" s="27"/>
      <c r="I101" s="27"/>
      <c r="J101" s="27"/>
      <c r="K101" s="27"/>
      <c r="L101" s="27"/>
      <c r="M101" s="27"/>
      <c r="N101" s="27"/>
      <c r="O101" s="27"/>
      <c r="P101" s="27"/>
    </row>
    <row r="102" spans="1:16" ht="48" customHeight="1">
      <c r="A102">
        <v>0</v>
      </c>
      <c r="B102">
        <v>0</v>
      </c>
      <c r="C102">
        <v>0</v>
      </c>
      <c r="D102">
        <v>0</v>
      </c>
      <c r="F102" s="27">
        <f>IF(U6,IF(V2&lt;=1,"", IF(ISNA(C102),"",A102&amp; " - " &amp; C102)),"")</f>
        <v>0</v>
      </c>
      <c r="G102" s="27"/>
      <c r="H102" s="27"/>
      <c r="I102" s="27"/>
      <c r="J102" s="27"/>
      <c r="K102" s="27"/>
      <c r="L102" s="27"/>
      <c r="M102" s="27"/>
      <c r="N102" s="27"/>
      <c r="O102" s="27"/>
      <c r="P102" s="27"/>
    </row>
    <row r="103" spans="1:16" ht="48" customHeight="1">
      <c r="A103">
        <v>0</v>
      </c>
      <c r="B103">
        <v>0</v>
      </c>
      <c r="C103">
        <v>0</v>
      </c>
      <c r="D103">
        <v>0</v>
      </c>
      <c r="F103" s="27">
        <f>IF(U6,IF(V2&lt;=1,"", IF(ISNA(C103),"",A103&amp; " - " &amp; C103)),"")</f>
        <v>0</v>
      </c>
      <c r="G103" s="27"/>
      <c r="H103" s="27"/>
      <c r="I103" s="27"/>
      <c r="J103" s="27"/>
      <c r="K103" s="27"/>
      <c r="L103" s="27"/>
      <c r="M103" s="27"/>
      <c r="N103" s="27"/>
      <c r="O103" s="27"/>
      <c r="P103" s="27"/>
    </row>
    <row r="104" spans="1:16" ht="48" customHeight="1">
      <c r="A104">
        <v>0</v>
      </c>
      <c r="B104">
        <v>0</v>
      </c>
      <c r="C104">
        <v>0</v>
      </c>
      <c r="D104">
        <v>0</v>
      </c>
      <c r="F104" s="27">
        <f>IF(U6,IF(V2&lt;=1,"", IF(ISNA(C104),"",A104&amp; " - " &amp; C104)),"")</f>
        <v>0</v>
      </c>
      <c r="G104" s="27"/>
      <c r="H104" s="27"/>
      <c r="I104" s="27"/>
      <c r="J104" s="27"/>
      <c r="K104" s="27"/>
      <c r="L104" s="27"/>
      <c r="M104" s="27"/>
      <c r="N104" s="27"/>
      <c r="O104" s="27"/>
      <c r="P104" s="27"/>
    </row>
    <row r="105" spans="1:16" ht="48" customHeight="1">
      <c r="A105">
        <v>0</v>
      </c>
      <c r="B105">
        <v>0</v>
      </c>
      <c r="C105">
        <v>0</v>
      </c>
      <c r="D105">
        <v>0</v>
      </c>
      <c r="F105" s="27">
        <f>IF(U6,IF(V2&lt;=1,"", IF(ISNA(C105),"",A105&amp; " - " &amp; C105)),"")</f>
        <v>0</v>
      </c>
      <c r="G105" s="27"/>
      <c r="H105" s="27"/>
      <c r="I105" s="27"/>
      <c r="J105" s="27"/>
      <c r="K105" s="27"/>
      <c r="L105" s="27"/>
      <c r="M105" s="27"/>
      <c r="N105" s="27"/>
      <c r="O105" s="27"/>
      <c r="P105" s="27"/>
    </row>
    <row r="106" spans="1:16" ht="48" customHeight="1">
      <c r="A106">
        <v>0</v>
      </c>
      <c r="B106">
        <v>0</v>
      </c>
      <c r="C106">
        <v>0</v>
      </c>
      <c r="D106">
        <v>0</v>
      </c>
      <c r="F106" s="27">
        <f>IF(U6,IF(V2&lt;=1,"", IF(ISNA(C106),"",A106&amp; " - " &amp; C106)),"")</f>
        <v>0</v>
      </c>
      <c r="G106" s="27"/>
      <c r="H106" s="27"/>
      <c r="I106" s="27"/>
      <c r="J106" s="27"/>
      <c r="K106" s="27"/>
      <c r="L106" s="27"/>
      <c r="M106" s="27"/>
      <c r="N106" s="27"/>
      <c r="O106" s="27"/>
      <c r="P106" s="27"/>
    </row>
    <row r="107" spans="1:16" ht="48" customHeight="1">
      <c r="A107">
        <v>0</v>
      </c>
      <c r="B107">
        <v>0</v>
      </c>
      <c r="C107">
        <v>0</v>
      </c>
      <c r="D107">
        <v>0</v>
      </c>
      <c r="F107" s="27">
        <f>IF(U6,IF(V2&lt;=1,"", IF(ISNA(C107),"",A107&amp; " - " &amp; C107)),"")</f>
        <v>0</v>
      </c>
      <c r="G107" s="27"/>
      <c r="H107" s="27"/>
      <c r="I107" s="27"/>
      <c r="J107" s="27"/>
      <c r="K107" s="27"/>
      <c r="L107" s="27"/>
      <c r="M107" s="27"/>
      <c r="N107" s="27"/>
      <c r="O107" s="27"/>
      <c r="P107" s="27"/>
    </row>
    <row r="108" spans="1:16" ht="48" customHeight="1">
      <c r="A108">
        <v>0</v>
      </c>
      <c r="B108">
        <v>0</v>
      </c>
      <c r="C108">
        <v>0</v>
      </c>
      <c r="D108">
        <v>0</v>
      </c>
      <c r="F108" s="27">
        <f>IF(U6,IF(V2&lt;=1,"", IF(ISNA(C108),"",A108&amp; " - " &amp; C108)),"")</f>
        <v>0</v>
      </c>
      <c r="G108" s="27"/>
      <c r="H108" s="27"/>
      <c r="I108" s="27"/>
      <c r="J108" s="27"/>
      <c r="K108" s="27"/>
      <c r="L108" s="27"/>
      <c r="M108" s="27"/>
      <c r="N108" s="27"/>
      <c r="O108" s="27"/>
      <c r="P108" s="27"/>
    </row>
    <row r="109" spans="1:16" ht="48" customHeight="1">
      <c r="A109">
        <v>0</v>
      </c>
      <c r="B109">
        <v>0</v>
      </c>
      <c r="C109">
        <v>0</v>
      </c>
      <c r="D109">
        <v>0</v>
      </c>
      <c r="F109" s="27">
        <f>IF(U6,IF(V2&lt;=1,"", IF(ISNA(C109),"",A109&amp; " - " &amp; C109)),"")</f>
        <v>0</v>
      </c>
      <c r="G109" s="27"/>
      <c r="H109" s="27"/>
      <c r="I109" s="27"/>
      <c r="J109" s="27"/>
      <c r="K109" s="27"/>
      <c r="L109" s="27"/>
      <c r="M109" s="27"/>
      <c r="N109" s="27"/>
      <c r="O109" s="27"/>
      <c r="P109" s="27"/>
    </row>
    <row r="110" spans="1:16" ht="48" customHeight="1">
      <c r="A110">
        <v>0</v>
      </c>
      <c r="B110">
        <v>0</v>
      </c>
      <c r="C110">
        <v>0</v>
      </c>
      <c r="D110">
        <v>0</v>
      </c>
      <c r="F110" s="27">
        <f>IF(U6,IF(V2&lt;=1,"", IF(ISNA(C110),"",A110&amp; " - " &amp; C110)),"")</f>
        <v>0</v>
      </c>
      <c r="G110" s="27"/>
      <c r="H110" s="27"/>
      <c r="I110" s="27"/>
      <c r="J110" s="27"/>
      <c r="K110" s="27"/>
      <c r="L110" s="27"/>
      <c r="M110" s="27"/>
      <c r="N110" s="27"/>
      <c r="O110" s="27"/>
      <c r="P110" s="27"/>
    </row>
    <row r="111" spans="1:16" ht="48" customHeight="1">
      <c r="A111">
        <v>0</v>
      </c>
      <c r="B111">
        <v>0</v>
      </c>
      <c r="C111">
        <v>0</v>
      </c>
      <c r="D111">
        <v>0</v>
      </c>
      <c r="F111" s="27">
        <f>IF(U6,IF(V2&lt;=1,"", IF(ISNA(C111),"",A111&amp; " - " &amp; C111)),"")</f>
        <v>0</v>
      </c>
      <c r="G111" s="27"/>
      <c r="H111" s="27"/>
      <c r="I111" s="27"/>
      <c r="J111" s="27"/>
      <c r="K111" s="27"/>
      <c r="L111" s="27"/>
      <c r="M111" s="27"/>
      <c r="N111" s="27"/>
      <c r="O111" s="27"/>
      <c r="P111" s="27"/>
    </row>
    <row r="112" spans="1:16" ht="48" customHeight="1">
      <c r="A112">
        <v>0</v>
      </c>
      <c r="B112">
        <v>0</v>
      </c>
      <c r="C112">
        <v>0</v>
      </c>
      <c r="D112">
        <v>0</v>
      </c>
      <c r="F112" s="27">
        <f>IF(U6,IF(V2&lt;=1,"", IF(ISNA(C112),"",A112&amp; " - " &amp; C112)),"")</f>
        <v>0</v>
      </c>
      <c r="G112" s="27"/>
      <c r="H112" s="27"/>
      <c r="I112" s="27"/>
      <c r="J112" s="27"/>
      <c r="K112" s="27"/>
      <c r="L112" s="27"/>
      <c r="M112" s="27"/>
      <c r="N112" s="27"/>
      <c r="O112" s="27"/>
      <c r="P112" s="27"/>
    </row>
    <row r="113" spans="1:16" ht="48" customHeight="1">
      <c r="A113">
        <v>0</v>
      </c>
      <c r="B113">
        <v>0</v>
      </c>
      <c r="C113">
        <v>0</v>
      </c>
      <c r="D113">
        <v>0</v>
      </c>
      <c r="F113" s="27">
        <f>IF(U6,IF(V2&lt;=1,"", IF(ISNA(C113),"",A113&amp; " - " &amp; C113)),"")</f>
        <v>0</v>
      </c>
      <c r="G113" s="27"/>
      <c r="H113" s="27"/>
      <c r="I113" s="27"/>
      <c r="J113" s="27"/>
      <c r="K113" s="27"/>
      <c r="L113" s="27"/>
      <c r="M113" s="27"/>
      <c r="N113" s="27"/>
      <c r="O113" s="27"/>
      <c r="P113" s="27"/>
    </row>
    <row r="114" spans="1:16" ht="48" customHeight="1">
      <c r="A114">
        <v>0</v>
      </c>
      <c r="B114">
        <v>0</v>
      </c>
      <c r="C114">
        <v>0</v>
      </c>
      <c r="D114">
        <v>0</v>
      </c>
      <c r="F114" s="27">
        <f>IF(U6,IF(V2&lt;=1,"", IF(ISNA(C114),"",A114&amp; " - " &amp; C114)),"")</f>
        <v>0</v>
      </c>
      <c r="G114" s="27"/>
      <c r="H114" s="27"/>
      <c r="I114" s="27"/>
      <c r="J114" s="27"/>
      <c r="K114" s="27"/>
      <c r="L114" s="27"/>
      <c r="M114" s="27"/>
      <c r="N114" s="27"/>
      <c r="O114" s="27"/>
      <c r="P114" s="27"/>
    </row>
    <row r="115" spans="1:16" ht="48" customHeight="1">
      <c r="A115">
        <v>0</v>
      </c>
      <c r="B115">
        <v>0</v>
      </c>
      <c r="C115">
        <v>0</v>
      </c>
      <c r="D115">
        <v>0</v>
      </c>
      <c r="F115" s="27">
        <f>IF(U6,IF(V2&lt;=1,"", IF(ISNA(C115),"",A115&amp; " - " &amp; C115)),"")</f>
        <v>0</v>
      </c>
      <c r="G115" s="27"/>
      <c r="H115" s="27"/>
      <c r="I115" s="27"/>
      <c r="J115" s="27"/>
      <c r="K115" s="27"/>
      <c r="L115" s="27"/>
      <c r="M115" s="27"/>
      <c r="N115" s="27"/>
      <c r="O115" s="27"/>
      <c r="P115" s="27"/>
    </row>
    <row r="116" spans="1:16" ht="48" customHeight="1">
      <c r="A116">
        <v>0</v>
      </c>
      <c r="B116">
        <v>0</v>
      </c>
      <c r="C116">
        <v>0</v>
      </c>
      <c r="D116">
        <v>0</v>
      </c>
      <c r="F116" s="27">
        <f>IF(U6,IF(V2&lt;=1,"", IF(ISNA(C116),"",A116&amp; " - " &amp; C116)),"")</f>
        <v>0</v>
      </c>
      <c r="G116" s="27"/>
      <c r="H116" s="27"/>
      <c r="I116" s="27"/>
      <c r="J116" s="27"/>
      <c r="K116" s="27"/>
      <c r="L116" s="27"/>
      <c r="M116" s="27"/>
      <c r="N116" s="27"/>
      <c r="O116" s="27"/>
      <c r="P116" s="27"/>
    </row>
    <row r="117" spans="1:16" ht="48" customHeight="1">
      <c r="A117">
        <v>0</v>
      </c>
      <c r="B117">
        <v>0</v>
      </c>
      <c r="C117">
        <v>0</v>
      </c>
      <c r="D117">
        <v>0</v>
      </c>
      <c r="F117" s="27">
        <f>IF(U6,IF(V2&lt;=1,"", IF(ISNA(C117),"",A117&amp; " - " &amp; C117)),"")</f>
        <v>0</v>
      </c>
      <c r="G117" s="27"/>
      <c r="H117" s="27"/>
      <c r="I117" s="27"/>
      <c r="J117" s="27"/>
      <c r="K117" s="27"/>
      <c r="L117" s="27"/>
      <c r="M117" s="27"/>
      <c r="N117" s="27"/>
      <c r="O117" s="27"/>
      <c r="P117" s="27"/>
    </row>
    <row r="118" spans="1:16" ht="48" customHeight="1">
      <c r="A118">
        <v>0</v>
      </c>
      <c r="B118">
        <v>0</v>
      </c>
      <c r="C118">
        <v>0</v>
      </c>
      <c r="D118">
        <v>0</v>
      </c>
      <c r="F118" s="27">
        <f>IF(U6,IF(V2&lt;=1,"", IF(ISNA(C118),"",A118&amp; " - " &amp; C118)),"")</f>
        <v>0</v>
      </c>
      <c r="G118" s="27"/>
      <c r="H118" s="27"/>
      <c r="I118" s="27"/>
      <c r="J118" s="27"/>
      <c r="K118" s="27"/>
      <c r="L118" s="27"/>
      <c r="M118" s="27"/>
      <c r="N118" s="27"/>
      <c r="O118" s="27"/>
      <c r="P118" s="27"/>
    </row>
    <row r="119" spans="1:16" ht="48" customHeight="1">
      <c r="A119">
        <v>0</v>
      </c>
      <c r="B119">
        <v>0</v>
      </c>
      <c r="C119">
        <v>0</v>
      </c>
      <c r="D119">
        <v>0</v>
      </c>
      <c r="F119" s="27">
        <f>IF(U6,IF(V2&lt;=1,"", IF(ISNA(C119),"",A119&amp; " - " &amp; C119)),"")</f>
        <v>0</v>
      </c>
      <c r="G119" s="27"/>
      <c r="H119" s="27"/>
      <c r="I119" s="27"/>
      <c r="J119" s="27"/>
      <c r="K119" s="27"/>
      <c r="L119" s="27"/>
      <c r="M119" s="27"/>
      <c r="N119" s="27"/>
      <c r="O119" s="27"/>
      <c r="P119" s="27"/>
    </row>
    <row r="120" spans="1:16" ht="48" customHeight="1">
      <c r="A120">
        <v>0</v>
      </c>
      <c r="B120">
        <v>0</v>
      </c>
      <c r="C120">
        <v>0</v>
      </c>
      <c r="D120">
        <v>0</v>
      </c>
      <c r="F120" s="27">
        <f>IF(U6,IF(V2&lt;=1,"", IF(ISNA(C120),"",A120&amp; " - " &amp; C120)),"")</f>
        <v>0</v>
      </c>
      <c r="G120" s="27"/>
      <c r="H120" s="27"/>
      <c r="I120" s="27"/>
      <c r="J120" s="27"/>
      <c r="K120" s="27"/>
      <c r="L120" s="27"/>
      <c r="M120" s="27"/>
      <c r="N120" s="27"/>
      <c r="O120" s="27"/>
      <c r="P120" s="27"/>
    </row>
    <row r="121" spans="1:16">
      <c r="A121">
        <v>0</v>
      </c>
      <c r="B121">
        <v>0</v>
      </c>
      <c r="C121">
        <v>0</v>
      </c>
      <c r="D121">
        <v>0</v>
      </c>
    </row>
    <row r="122" spans="1:16">
      <c r="A122">
        <v>0</v>
      </c>
      <c r="B122">
        <v>0</v>
      </c>
      <c r="C122">
        <v>0</v>
      </c>
      <c r="D122">
        <v>0</v>
      </c>
    </row>
    <row r="123" spans="1:16">
      <c r="A123">
        <v>0</v>
      </c>
      <c r="B123">
        <v>0</v>
      </c>
      <c r="C123">
        <v>0</v>
      </c>
      <c r="D123">
        <v>0</v>
      </c>
    </row>
    <row r="124" spans="1:16">
      <c r="A124">
        <v>0</v>
      </c>
      <c r="B124">
        <v>0</v>
      </c>
      <c r="C124">
        <v>0</v>
      </c>
      <c r="D124">
        <v>0</v>
      </c>
    </row>
    <row r="125" spans="1:16">
      <c r="A125">
        <v>0</v>
      </c>
      <c r="B125">
        <v>0</v>
      </c>
      <c r="C125">
        <v>0</v>
      </c>
      <c r="D125">
        <v>0</v>
      </c>
    </row>
    <row r="126" spans="1:16">
      <c r="A126">
        <v>0</v>
      </c>
      <c r="B126">
        <v>0</v>
      </c>
      <c r="C126">
        <v>0</v>
      </c>
      <c r="D126">
        <v>0</v>
      </c>
    </row>
    <row r="127" spans="1:16">
      <c r="A127">
        <v>0</v>
      </c>
      <c r="B127">
        <v>0</v>
      </c>
      <c r="C127">
        <v>0</v>
      </c>
      <c r="D127">
        <v>0</v>
      </c>
    </row>
    <row r="128" spans="1:16">
      <c r="A128">
        <v>0</v>
      </c>
      <c r="B128">
        <v>0</v>
      </c>
      <c r="C128">
        <v>0</v>
      </c>
      <c r="D128">
        <v>0</v>
      </c>
    </row>
    <row r="129" spans="1:4">
      <c r="A129">
        <v>0</v>
      </c>
      <c r="B129">
        <v>0</v>
      </c>
      <c r="C129">
        <v>0</v>
      </c>
      <c r="D129">
        <v>0</v>
      </c>
    </row>
    <row r="130" spans="1:4">
      <c r="A130">
        <v>0</v>
      </c>
      <c r="B130">
        <v>0</v>
      </c>
      <c r="C130">
        <v>0</v>
      </c>
      <c r="D130">
        <v>0</v>
      </c>
    </row>
    <row r="131" spans="1:4">
      <c r="A131">
        <v>0</v>
      </c>
      <c r="B131">
        <v>0</v>
      </c>
      <c r="C131">
        <v>0</v>
      </c>
      <c r="D131">
        <v>0</v>
      </c>
    </row>
    <row r="132" spans="1:4">
      <c r="A132">
        <v>0</v>
      </c>
      <c r="B132">
        <v>0</v>
      </c>
      <c r="C132">
        <v>0</v>
      </c>
      <c r="D132">
        <v>0</v>
      </c>
    </row>
    <row r="133" spans="1:4">
      <c r="A133">
        <v>0</v>
      </c>
      <c r="B133">
        <v>0</v>
      </c>
      <c r="C133">
        <v>0</v>
      </c>
      <c r="D133">
        <v>0</v>
      </c>
    </row>
    <row r="134" spans="1:4">
      <c r="A134">
        <v>0</v>
      </c>
      <c r="B134">
        <v>0</v>
      </c>
      <c r="C134">
        <v>0</v>
      </c>
      <c r="D134">
        <v>0</v>
      </c>
    </row>
    <row r="135" spans="1:4">
      <c r="A135">
        <v>0</v>
      </c>
      <c r="B135">
        <v>0</v>
      </c>
      <c r="C135">
        <v>0</v>
      </c>
      <c r="D135">
        <v>0</v>
      </c>
    </row>
    <row r="136" spans="1:4">
      <c r="A136">
        <v>0</v>
      </c>
      <c r="B136">
        <v>0</v>
      </c>
      <c r="C136">
        <v>0</v>
      </c>
      <c r="D136">
        <v>0</v>
      </c>
    </row>
    <row r="137" spans="1:4">
      <c r="A137">
        <v>0</v>
      </c>
      <c r="B137">
        <v>0</v>
      </c>
      <c r="C137">
        <v>0</v>
      </c>
      <c r="D137">
        <v>0</v>
      </c>
    </row>
    <row r="138" spans="1:4">
      <c r="A138">
        <v>0</v>
      </c>
      <c r="B138">
        <v>0</v>
      </c>
      <c r="C138">
        <v>0</v>
      </c>
      <c r="D138">
        <v>0</v>
      </c>
    </row>
    <row r="139" spans="1:4">
      <c r="A139">
        <v>0</v>
      </c>
      <c r="B139">
        <v>0</v>
      </c>
      <c r="C139">
        <v>0</v>
      </c>
      <c r="D139">
        <v>0</v>
      </c>
    </row>
    <row r="140" spans="1:4">
      <c r="A140">
        <v>0</v>
      </c>
      <c r="B140">
        <v>0</v>
      </c>
      <c r="C140">
        <v>0</v>
      </c>
      <c r="D140">
        <v>0</v>
      </c>
    </row>
    <row r="141" spans="1:4">
      <c r="A141">
        <v>0</v>
      </c>
      <c r="B141">
        <v>0</v>
      </c>
      <c r="C141">
        <v>0</v>
      </c>
      <c r="D141">
        <v>0</v>
      </c>
    </row>
    <row r="142" spans="1:4">
      <c r="A142">
        <v>0</v>
      </c>
      <c r="B142">
        <v>0</v>
      </c>
      <c r="C142">
        <v>0</v>
      </c>
      <c r="D142">
        <v>0</v>
      </c>
    </row>
    <row r="143" spans="1:4">
      <c r="A143">
        <v>0</v>
      </c>
      <c r="B143">
        <v>0</v>
      </c>
      <c r="C143">
        <v>0</v>
      </c>
      <c r="D143">
        <v>0</v>
      </c>
    </row>
    <row r="144" spans="1:4">
      <c r="A144">
        <v>0</v>
      </c>
      <c r="B144">
        <v>0</v>
      </c>
      <c r="C144">
        <v>0</v>
      </c>
      <c r="D144">
        <v>0</v>
      </c>
    </row>
    <row r="145" spans="1:4">
      <c r="A145">
        <v>0</v>
      </c>
      <c r="B145">
        <v>0</v>
      </c>
      <c r="C145">
        <v>0</v>
      </c>
      <c r="D145">
        <v>0</v>
      </c>
    </row>
    <row r="146" spans="1:4">
      <c r="A146">
        <v>0</v>
      </c>
      <c r="B146">
        <v>0</v>
      </c>
      <c r="C146">
        <v>0</v>
      </c>
      <c r="D146">
        <v>0</v>
      </c>
    </row>
    <row r="147" spans="1:4">
      <c r="A147">
        <v>0</v>
      </c>
      <c r="B147">
        <v>0</v>
      </c>
      <c r="C147">
        <v>0</v>
      </c>
      <c r="D147">
        <v>0</v>
      </c>
    </row>
    <row r="148" spans="1:4">
      <c r="A148">
        <v>0</v>
      </c>
      <c r="B148">
        <v>0</v>
      </c>
      <c r="C148">
        <v>0</v>
      </c>
      <c r="D148">
        <v>0</v>
      </c>
    </row>
    <row r="149" spans="1:4">
      <c r="A149">
        <v>0</v>
      </c>
      <c r="B149">
        <v>0</v>
      </c>
      <c r="C149">
        <v>0</v>
      </c>
      <c r="D149">
        <v>0</v>
      </c>
    </row>
    <row r="150" spans="1:4">
      <c r="A150">
        <v>0</v>
      </c>
      <c r="B150">
        <v>0</v>
      </c>
      <c r="C150">
        <v>0</v>
      </c>
      <c r="D150">
        <v>0</v>
      </c>
    </row>
    <row r="151" spans="1:4">
      <c r="A151">
        <v>0</v>
      </c>
      <c r="B151">
        <v>0</v>
      </c>
      <c r="C151">
        <v>0</v>
      </c>
      <c r="D151">
        <v>0</v>
      </c>
    </row>
    <row r="152" spans="1:4">
      <c r="A152">
        <v>0</v>
      </c>
      <c r="B152">
        <v>0</v>
      </c>
      <c r="C152">
        <v>0</v>
      </c>
      <c r="D152">
        <v>0</v>
      </c>
    </row>
    <row r="153" spans="1:4">
      <c r="A153">
        <v>0</v>
      </c>
      <c r="B153">
        <v>0</v>
      </c>
      <c r="C153">
        <v>0</v>
      </c>
      <c r="D153">
        <v>0</v>
      </c>
    </row>
    <row r="154" spans="1:4">
      <c r="A154">
        <v>0</v>
      </c>
      <c r="B154">
        <v>0</v>
      </c>
      <c r="C154">
        <v>0</v>
      </c>
      <c r="D154">
        <v>0</v>
      </c>
    </row>
    <row r="155" spans="1:4">
      <c r="A155">
        <v>0</v>
      </c>
      <c r="B155">
        <v>0</v>
      </c>
      <c r="C155">
        <v>0</v>
      </c>
      <c r="D155">
        <v>0</v>
      </c>
    </row>
    <row r="156" spans="1:4">
      <c r="A156">
        <v>0</v>
      </c>
      <c r="B156">
        <v>0</v>
      </c>
      <c r="C156">
        <v>0</v>
      </c>
      <c r="D156">
        <v>0</v>
      </c>
    </row>
    <row r="157" spans="1:4">
      <c r="A157">
        <v>0</v>
      </c>
      <c r="B157">
        <v>0</v>
      </c>
      <c r="C157">
        <v>0</v>
      </c>
      <c r="D157">
        <v>0</v>
      </c>
    </row>
    <row r="158" spans="1:4">
      <c r="A158">
        <v>0</v>
      </c>
      <c r="B158">
        <v>0</v>
      </c>
      <c r="C158">
        <v>0</v>
      </c>
      <c r="D158">
        <v>0</v>
      </c>
    </row>
    <row r="159" spans="1:4">
      <c r="A159">
        <v>0</v>
      </c>
      <c r="B159">
        <v>0</v>
      </c>
      <c r="C159">
        <v>0</v>
      </c>
      <c r="D159">
        <v>0</v>
      </c>
    </row>
    <row r="160" spans="1:4">
      <c r="A160">
        <v>0</v>
      </c>
      <c r="B160">
        <v>0</v>
      </c>
      <c r="C160">
        <v>0</v>
      </c>
      <c r="D160">
        <v>0</v>
      </c>
    </row>
    <row r="161" spans="1:4">
      <c r="A161">
        <v>0</v>
      </c>
      <c r="B161">
        <v>0</v>
      </c>
      <c r="C161">
        <v>0</v>
      </c>
      <c r="D161">
        <v>0</v>
      </c>
    </row>
    <row r="162" spans="1:4">
      <c r="A162">
        <v>0</v>
      </c>
      <c r="B162">
        <v>0</v>
      </c>
      <c r="C162">
        <v>0</v>
      </c>
      <c r="D162">
        <v>0</v>
      </c>
    </row>
    <row r="163" spans="1:4">
      <c r="A163">
        <v>0</v>
      </c>
      <c r="B163">
        <v>0</v>
      </c>
      <c r="C163">
        <v>0</v>
      </c>
      <c r="D163">
        <v>0</v>
      </c>
    </row>
    <row r="164" spans="1:4">
      <c r="A164">
        <v>0</v>
      </c>
      <c r="B164">
        <v>0</v>
      </c>
      <c r="C164">
        <v>0</v>
      </c>
      <c r="D164">
        <v>0</v>
      </c>
    </row>
    <row r="165" spans="1:4">
      <c r="A165">
        <v>0</v>
      </c>
      <c r="B165">
        <v>0</v>
      </c>
      <c r="C165">
        <v>0</v>
      </c>
      <c r="D165">
        <v>0</v>
      </c>
    </row>
    <row r="166" spans="1:4">
      <c r="A166">
        <v>0</v>
      </c>
      <c r="B166">
        <v>0</v>
      </c>
      <c r="C166">
        <v>0</v>
      </c>
      <c r="D166">
        <v>0</v>
      </c>
    </row>
    <row r="167" spans="1:4">
      <c r="A167">
        <v>0</v>
      </c>
      <c r="B167">
        <v>0</v>
      </c>
      <c r="C167">
        <v>0</v>
      </c>
      <c r="D167">
        <v>0</v>
      </c>
    </row>
    <row r="168" spans="1:4">
      <c r="A168">
        <v>0</v>
      </c>
      <c r="B168">
        <v>0</v>
      </c>
      <c r="C168">
        <v>0</v>
      </c>
      <c r="D168">
        <v>0</v>
      </c>
    </row>
    <row r="169" spans="1:4">
      <c r="A169">
        <v>0</v>
      </c>
      <c r="B169">
        <v>0</v>
      </c>
      <c r="C169">
        <v>0</v>
      </c>
      <c r="D169">
        <v>0</v>
      </c>
    </row>
    <row r="170" spans="1:4">
      <c r="A170">
        <v>0</v>
      </c>
      <c r="B170">
        <v>0</v>
      </c>
      <c r="C170">
        <v>0</v>
      </c>
      <c r="D170">
        <v>0</v>
      </c>
    </row>
    <row r="171" spans="1:4">
      <c r="A171">
        <v>0</v>
      </c>
      <c r="B171">
        <v>0</v>
      </c>
      <c r="C171">
        <v>0</v>
      </c>
      <c r="D171">
        <v>0</v>
      </c>
    </row>
    <row r="172" spans="1:4">
      <c r="A172">
        <v>0</v>
      </c>
      <c r="B172">
        <v>0</v>
      </c>
      <c r="C172">
        <v>0</v>
      </c>
      <c r="D172">
        <v>0</v>
      </c>
    </row>
    <row r="173" spans="1:4">
      <c r="A173">
        <v>0</v>
      </c>
      <c r="B173">
        <v>0</v>
      </c>
      <c r="C173">
        <v>0</v>
      </c>
      <c r="D173">
        <v>0</v>
      </c>
    </row>
    <row r="174" spans="1:4">
      <c r="A174">
        <v>0</v>
      </c>
      <c r="B174">
        <v>0</v>
      </c>
      <c r="C174">
        <v>0</v>
      </c>
      <c r="D174">
        <v>0</v>
      </c>
    </row>
    <row r="175" spans="1:4">
      <c r="A175">
        <v>0</v>
      </c>
      <c r="B175">
        <v>0</v>
      </c>
      <c r="C175">
        <v>0</v>
      </c>
      <c r="D175">
        <v>0</v>
      </c>
    </row>
    <row r="176" spans="1:4">
      <c r="A176">
        <v>0</v>
      </c>
      <c r="B176">
        <v>0</v>
      </c>
      <c r="C176">
        <v>0</v>
      </c>
      <c r="D176">
        <v>0</v>
      </c>
    </row>
    <row r="177" spans="1:4">
      <c r="A177">
        <v>0</v>
      </c>
      <c r="B177">
        <v>0</v>
      </c>
      <c r="C177">
        <v>0</v>
      </c>
      <c r="D177">
        <v>0</v>
      </c>
    </row>
    <row r="178" spans="1:4">
      <c r="A178">
        <v>0</v>
      </c>
      <c r="B178">
        <v>0</v>
      </c>
      <c r="C178">
        <v>0</v>
      </c>
      <c r="D178">
        <v>0</v>
      </c>
    </row>
    <row r="179" spans="1:4">
      <c r="A179">
        <v>0</v>
      </c>
      <c r="B179">
        <v>0</v>
      </c>
      <c r="C179">
        <v>0</v>
      </c>
      <c r="D179">
        <v>0</v>
      </c>
    </row>
    <row r="180" spans="1:4">
      <c r="A180">
        <v>0</v>
      </c>
      <c r="B180">
        <v>0</v>
      </c>
      <c r="C180">
        <v>0</v>
      </c>
      <c r="D180">
        <v>0</v>
      </c>
    </row>
    <row r="181" spans="1:4">
      <c r="A181">
        <v>0</v>
      </c>
      <c r="B181">
        <v>0</v>
      </c>
      <c r="C181">
        <v>0</v>
      </c>
      <c r="D181">
        <v>0</v>
      </c>
    </row>
    <row r="182" spans="1:4">
      <c r="A182">
        <v>0</v>
      </c>
      <c r="B182">
        <v>0</v>
      </c>
      <c r="C182">
        <v>0</v>
      </c>
      <c r="D182">
        <v>0</v>
      </c>
    </row>
    <row r="183" spans="1:4">
      <c r="A183">
        <v>0</v>
      </c>
      <c r="B183">
        <v>0</v>
      </c>
      <c r="C183">
        <v>0</v>
      </c>
      <c r="D183">
        <v>0</v>
      </c>
    </row>
    <row r="184" spans="1:4">
      <c r="A184">
        <v>0</v>
      </c>
      <c r="B184">
        <v>0</v>
      </c>
      <c r="C184">
        <v>0</v>
      </c>
      <c r="D184">
        <v>0</v>
      </c>
    </row>
    <row r="185" spans="1:4">
      <c r="A185">
        <v>0</v>
      </c>
      <c r="B185">
        <v>0</v>
      </c>
      <c r="C185">
        <v>0</v>
      </c>
      <c r="D185">
        <v>0</v>
      </c>
    </row>
    <row r="186" spans="1:4">
      <c r="A186">
        <v>0</v>
      </c>
      <c r="B186">
        <v>0</v>
      </c>
      <c r="C186">
        <v>0</v>
      </c>
      <c r="D186">
        <v>0</v>
      </c>
    </row>
    <row r="187" spans="1:4">
      <c r="A187">
        <v>0</v>
      </c>
      <c r="B187">
        <v>0</v>
      </c>
      <c r="C187">
        <v>0</v>
      </c>
      <c r="D187">
        <v>0</v>
      </c>
    </row>
    <row r="188" spans="1:4">
      <c r="A188">
        <v>0</v>
      </c>
      <c r="B188">
        <v>0</v>
      </c>
      <c r="C188">
        <v>0</v>
      </c>
      <c r="D188">
        <v>0</v>
      </c>
    </row>
    <row r="189" spans="1:4">
      <c r="A189">
        <v>0</v>
      </c>
      <c r="B189">
        <v>0</v>
      </c>
      <c r="C189">
        <v>0</v>
      </c>
      <c r="D189">
        <v>0</v>
      </c>
    </row>
    <row r="190" spans="1:4">
      <c r="A190">
        <v>0</v>
      </c>
      <c r="B190">
        <v>0</v>
      </c>
      <c r="C190">
        <v>0</v>
      </c>
      <c r="D190">
        <v>0</v>
      </c>
    </row>
    <row r="191" spans="1:4">
      <c r="A191">
        <v>0</v>
      </c>
      <c r="B191">
        <v>0</v>
      </c>
      <c r="C191">
        <v>0</v>
      </c>
      <c r="D191">
        <v>0</v>
      </c>
    </row>
    <row r="192" spans="1:4">
      <c r="A192">
        <v>0</v>
      </c>
      <c r="B192">
        <v>0</v>
      </c>
      <c r="C192">
        <v>0</v>
      </c>
      <c r="D192">
        <v>0</v>
      </c>
    </row>
    <row r="193" spans="1:4">
      <c r="A193">
        <v>0</v>
      </c>
      <c r="B193">
        <v>0</v>
      </c>
      <c r="C193">
        <v>0</v>
      </c>
      <c r="D193">
        <v>0</v>
      </c>
    </row>
    <row r="194" spans="1:4">
      <c r="A194">
        <v>0</v>
      </c>
      <c r="B194">
        <v>0</v>
      </c>
      <c r="C194">
        <v>0</v>
      </c>
      <c r="D194">
        <v>0</v>
      </c>
    </row>
    <row r="195" spans="1:4">
      <c r="A195">
        <v>0</v>
      </c>
      <c r="B195">
        <v>0</v>
      </c>
      <c r="C195">
        <v>0</v>
      </c>
      <c r="D195">
        <v>0</v>
      </c>
    </row>
    <row r="196" spans="1:4">
      <c r="A196">
        <v>0</v>
      </c>
      <c r="B196">
        <v>0</v>
      </c>
      <c r="C196">
        <v>0</v>
      </c>
      <c r="D196">
        <v>0</v>
      </c>
    </row>
    <row r="197" spans="1:4">
      <c r="A197">
        <v>0</v>
      </c>
      <c r="B197">
        <v>0</v>
      </c>
      <c r="C197">
        <v>0</v>
      </c>
      <c r="D197">
        <v>0</v>
      </c>
    </row>
    <row r="198" spans="1:4">
      <c r="A198">
        <v>0</v>
      </c>
      <c r="B198">
        <v>0</v>
      </c>
      <c r="C198">
        <v>0</v>
      </c>
      <c r="D198">
        <v>0</v>
      </c>
    </row>
    <row r="199" spans="1:4">
      <c r="A199">
        <v>0</v>
      </c>
      <c r="B199">
        <v>0</v>
      </c>
      <c r="C199">
        <v>0</v>
      </c>
      <c r="D199">
        <v>0</v>
      </c>
    </row>
    <row r="200" spans="1:4">
      <c r="A200">
        <v>0</v>
      </c>
      <c r="B200">
        <v>0</v>
      </c>
      <c r="C200">
        <v>0</v>
      </c>
      <c r="D200">
        <v>0</v>
      </c>
    </row>
    <row r="201" spans="1:4">
      <c r="A201">
        <v>0</v>
      </c>
      <c r="B201">
        <v>0</v>
      </c>
      <c r="C201">
        <v>0</v>
      </c>
      <c r="D201">
        <v>0</v>
      </c>
    </row>
    <row r="202" spans="1:4">
      <c r="A202">
        <v>0</v>
      </c>
      <c r="B202">
        <v>0</v>
      </c>
      <c r="C202">
        <v>0</v>
      </c>
      <c r="D202">
        <v>0</v>
      </c>
    </row>
    <row r="203" spans="1:4">
      <c r="A203">
        <v>0</v>
      </c>
      <c r="B203">
        <v>0</v>
      </c>
      <c r="C203">
        <v>0</v>
      </c>
      <c r="D203">
        <v>0</v>
      </c>
    </row>
    <row r="204" spans="1:4">
      <c r="A204">
        <v>0</v>
      </c>
      <c r="B204">
        <v>0</v>
      </c>
      <c r="C204">
        <v>0</v>
      </c>
      <c r="D204">
        <v>0</v>
      </c>
    </row>
    <row r="205" spans="1:4">
      <c r="A205">
        <v>0</v>
      </c>
      <c r="B205">
        <v>0</v>
      </c>
      <c r="C205">
        <v>0</v>
      </c>
      <c r="D205">
        <v>0</v>
      </c>
    </row>
    <row r="206" spans="1:4">
      <c r="A206">
        <v>0</v>
      </c>
      <c r="B206">
        <v>0</v>
      </c>
      <c r="C206">
        <v>0</v>
      </c>
      <c r="D206">
        <v>0</v>
      </c>
    </row>
    <row r="207" spans="1:4">
      <c r="A207">
        <v>0</v>
      </c>
      <c r="B207">
        <v>0</v>
      </c>
      <c r="C207">
        <v>0</v>
      </c>
      <c r="D207">
        <v>0</v>
      </c>
    </row>
    <row r="208" spans="1:4">
      <c r="A208">
        <v>0</v>
      </c>
      <c r="B208">
        <v>0</v>
      </c>
      <c r="C208">
        <v>0</v>
      </c>
      <c r="D208">
        <v>0</v>
      </c>
    </row>
    <row r="209" spans="1:4">
      <c r="A209">
        <v>0</v>
      </c>
      <c r="B209">
        <v>0</v>
      </c>
      <c r="C209">
        <v>0</v>
      </c>
      <c r="D209">
        <v>0</v>
      </c>
    </row>
    <row r="210" spans="1:4">
      <c r="A210">
        <v>0</v>
      </c>
      <c r="B210">
        <v>0</v>
      </c>
      <c r="C210">
        <v>0</v>
      </c>
      <c r="D210">
        <v>0</v>
      </c>
    </row>
    <row r="211" spans="1:4">
      <c r="A211">
        <v>0</v>
      </c>
      <c r="B211">
        <v>0</v>
      </c>
      <c r="C211">
        <v>0</v>
      </c>
      <c r="D211">
        <v>0</v>
      </c>
    </row>
    <row r="212" spans="1:4">
      <c r="A212">
        <v>0</v>
      </c>
      <c r="B212">
        <v>0</v>
      </c>
      <c r="C212">
        <v>0</v>
      </c>
      <c r="D212">
        <v>0</v>
      </c>
    </row>
    <row r="213" spans="1:4">
      <c r="A213">
        <v>0</v>
      </c>
      <c r="B213">
        <v>0</v>
      </c>
      <c r="C213">
        <v>0</v>
      </c>
      <c r="D213">
        <v>0</v>
      </c>
    </row>
    <row r="214" spans="1:4">
      <c r="A214">
        <v>0</v>
      </c>
      <c r="B214">
        <v>0</v>
      </c>
      <c r="C214">
        <v>0</v>
      </c>
      <c r="D214">
        <v>0</v>
      </c>
    </row>
    <row r="215" spans="1:4">
      <c r="A215">
        <v>0</v>
      </c>
      <c r="B215">
        <v>0</v>
      </c>
      <c r="C215">
        <v>0</v>
      </c>
      <c r="D215">
        <v>0</v>
      </c>
    </row>
    <row r="216" spans="1:4">
      <c r="A216">
        <v>0</v>
      </c>
      <c r="B216">
        <v>0</v>
      </c>
      <c r="C216">
        <v>0</v>
      </c>
      <c r="D216">
        <v>0</v>
      </c>
    </row>
    <row r="217" spans="1:4">
      <c r="A217">
        <v>0</v>
      </c>
      <c r="B217">
        <v>0</v>
      </c>
      <c r="C217">
        <v>0</v>
      </c>
      <c r="D217">
        <v>0</v>
      </c>
    </row>
    <row r="218" spans="1:4">
      <c r="A218">
        <v>0</v>
      </c>
      <c r="B218">
        <v>0</v>
      </c>
      <c r="C218">
        <v>0</v>
      </c>
      <c r="D218">
        <v>0</v>
      </c>
    </row>
    <row r="219" spans="1:4">
      <c r="A219">
        <v>0</v>
      </c>
      <c r="B219">
        <v>0</v>
      </c>
      <c r="C219">
        <v>0</v>
      </c>
      <c r="D219">
        <v>0</v>
      </c>
    </row>
    <row r="220" spans="1:4">
      <c r="A220">
        <v>0</v>
      </c>
      <c r="B220">
        <v>0</v>
      </c>
      <c r="C220">
        <v>0</v>
      </c>
      <c r="D220">
        <v>0</v>
      </c>
    </row>
    <row r="221" spans="1:4">
      <c r="A221">
        <v>0</v>
      </c>
      <c r="B221">
        <v>0</v>
      </c>
      <c r="C221">
        <v>0</v>
      </c>
      <c r="D221">
        <v>0</v>
      </c>
    </row>
    <row r="222" spans="1:4">
      <c r="A222">
        <v>0</v>
      </c>
      <c r="B222">
        <v>0</v>
      </c>
      <c r="C222">
        <v>0</v>
      </c>
      <c r="D222">
        <v>0</v>
      </c>
    </row>
    <row r="223" spans="1:4">
      <c r="A223">
        <v>0</v>
      </c>
      <c r="B223">
        <v>0</v>
      </c>
      <c r="C223">
        <v>0</v>
      </c>
      <c r="D223">
        <v>0</v>
      </c>
    </row>
    <row r="224" spans="1:4">
      <c r="A224">
        <v>0</v>
      </c>
      <c r="B224">
        <v>0</v>
      </c>
      <c r="C224">
        <v>0</v>
      </c>
      <c r="D224">
        <v>0</v>
      </c>
    </row>
    <row r="225" spans="1:4">
      <c r="A225">
        <v>0</v>
      </c>
      <c r="B225">
        <v>0</v>
      </c>
      <c r="C225">
        <v>0</v>
      </c>
      <c r="D225">
        <v>0</v>
      </c>
    </row>
    <row r="226" spans="1:4">
      <c r="A226">
        <v>0</v>
      </c>
      <c r="B226">
        <v>0</v>
      </c>
      <c r="C226">
        <v>0</v>
      </c>
      <c r="D226">
        <v>0</v>
      </c>
    </row>
    <row r="227" spans="1:4">
      <c r="A227">
        <v>0</v>
      </c>
      <c r="B227">
        <v>0</v>
      </c>
      <c r="C227">
        <v>0</v>
      </c>
      <c r="D227">
        <v>0</v>
      </c>
    </row>
    <row r="228" spans="1:4">
      <c r="A228">
        <v>0</v>
      </c>
      <c r="B228">
        <v>0</v>
      </c>
      <c r="C228">
        <v>0</v>
      </c>
      <c r="D228">
        <v>0</v>
      </c>
    </row>
    <row r="229" spans="1:4">
      <c r="A229">
        <v>0</v>
      </c>
      <c r="B229">
        <v>0</v>
      </c>
      <c r="C229">
        <v>0</v>
      </c>
      <c r="D229">
        <v>0</v>
      </c>
    </row>
    <row r="230" spans="1:4">
      <c r="A230">
        <v>0</v>
      </c>
      <c r="B230">
        <v>0</v>
      </c>
      <c r="C230">
        <v>0</v>
      </c>
      <c r="D230">
        <v>0</v>
      </c>
    </row>
    <row r="231" spans="1:4">
      <c r="A231">
        <v>0</v>
      </c>
      <c r="B231">
        <v>0</v>
      </c>
      <c r="C231">
        <v>0</v>
      </c>
      <c r="D231">
        <v>0</v>
      </c>
    </row>
    <row r="232" spans="1:4">
      <c r="A232">
        <v>0</v>
      </c>
      <c r="B232">
        <v>0</v>
      </c>
      <c r="C232">
        <v>0</v>
      </c>
      <c r="D232">
        <v>0</v>
      </c>
    </row>
    <row r="233" spans="1:4">
      <c r="A233">
        <v>0</v>
      </c>
      <c r="B233">
        <v>0</v>
      </c>
      <c r="C233">
        <v>0</v>
      </c>
      <c r="D233">
        <v>0</v>
      </c>
    </row>
    <row r="234" spans="1:4">
      <c r="A234">
        <v>0</v>
      </c>
      <c r="B234">
        <v>0</v>
      </c>
      <c r="C234">
        <v>0</v>
      </c>
      <c r="D234">
        <v>0</v>
      </c>
    </row>
    <row r="235" spans="1:4">
      <c r="A235">
        <v>0</v>
      </c>
      <c r="B235">
        <v>0</v>
      </c>
      <c r="C235">
        <v>0</v>
      </c>
      <c r="D235">
        <v>0</v>
      </c>
    </row>
    <row r="236" spans="1:4">
      <c r="A236">
        <v>0</v>
      </c>
      <c r="B236">
        <v>0</v>
      </c>
      <c r="C236">
        <v>0</v>
      </c>
      <c r="D236">
        <v>0</v>
      </c>
    </row>
    <row r="237" spans="1:4">
      <c r="A237">
        <v>0</v>
      </c>
      <c r="B237">
        <v>0</v>
      </c>
      <c r="C237">
        <v>0</v>
      </c>
      <c r="D237">
        <v>0</v>
      </c>
    </row>
    <row r="238" spans="1:4">
      <c r="A238">
        <v>0</v>
      </c>
      <c r="B238">
        <v>0</v>
      </c>
      <c r="C238">
        <v>0</v>
      </c>
      <c r="D238">
        <v>0</v>
      </c>
    </row>
    <row r="239" spans="1:4">
      <c r="A239">
        <v>0</v>
      </c>
      <c r="B239">
        <v>0</v>
      </c>
      <c r="C239">
        <v>0</v>
      </c>
      <c r="D239">
        <v>0</v>
      </c>
    </row>
    <row r="240" spans="1:4">
      <c r="A240">
        <v>0</v>
      </c>
      <c r="B240">
        <v>0</v>
      </c>
      <c r="C240">
        <v>0</v>
      </c>
      <c r="D240">
        <v>0</v>
      </c>
    </row>
    <row r="241" spans="1:4">
      <c r="A241">
        <v>0</v>
      </c>
      <c r="B241">
        <v>0</v>
      </c>
      <c r="C241">
        <v>0</v>
      </c>
      <c r="D241">
        <v>0</v>
      </c>
    </row>
    <row r="242" spans="1:4">
      <c r="A242">
        <v>0</v>
      </c>
      <c r="B242">
        <v>0</v>
      </c>
      <c r="C242">
        <v>0</v>
      </c>
      <c r="D242">
        <v>0</v>
      </c>
    </row>
    <row r="243" spans="1:4">
      <c r="A243">
        <v>0</v>
      </c>
      <c r="B243">
        <v>0</v>
      </c>
      <c r="C243">
        <v>0</v>
      </c>
      <c r="D243">
        <v>0</v>
      </c>
    </row>
    <row r="244" spans="1:4">
      <c r="A244">
        <v>0</v>
      </c>
      <c r="B244">
        <v>0</v>
      </c>
      <c r="C244">
        <v>0</v>
      </c>
      <c r="D244">
        <v>0</v>
      </c>
    </row>
    <row r="245" spans="1:4">
      <c r="A245">
        <v>0</v>
      </c>
      <c r="B245">
        <v>0</v>
      </c>
      <c r="C245">
        <v>0</v>
      </c>
      <c r="D245">
        <v>0</v>
      </c>
    </row>
    <row r="246" spans="1:4">
      <c r="A246">
        <v>0</v>
      </c>
      <c r="B246">
        <v>0</v>
      </c>
      <c r="C246">
        <v>0</v>
      </c>
      <c r="D246">
        <v>0</v>
      </c>
    </row>
    <row r="247" spans="1:4">
      <c r="A247">
        <v>0</v>
      </c>
      <c r="B247">
        <v>0</v>
      </c>
      <c r="C247">
        <v>0</v>
      </c>
      <c r="D247">
        <v>0</v>
      </c>
    </row>
    <row r="248" spans="1:4">
      <c r="A248">
        <v>0</v>
      </c>
      <c r="B248">
        <v>0</v>
      </c>
      <c r="C248">
        <v>0</v>
      </c>
      <c r="D248">
        <v>0</v>
      </c>
    </row>
    <row r="249" spans="1:4">
      <c r="A249">
        <v>0</v>
      </c>
      <c r="B249">
        <v>0</v>
      </c>
      <c r="C249">
        <v>0</v>
      </c>
      <c r="D249">
        <v>0</v>
      </c>
    </row>
    <row r="250" spans="1:4">
      <c r="A250">
        <v>0</v>
      </c>
      <c r="B250">
        <v>0</v>
      </c>
      <c r="C250">
        <v>0</v>
      </c>
      <c r="D250">
        <v>0</v>
      </c>
    </row>
    <row r="251" spans="1:4">
      <c r="A251">
        <v>0</v>
      </c>
      <c r="B251">
        <v>0</v>
      </c>
      <c r="C251">
        <v>0</v>
      </c>
      <c r="D251">
        <v>0</v>
      </c>
    </row>
    <row r="252" spans="1:4">
      <c r="A252">
        <v>0</v>
      </c>
      <c r="B252">
        <v>0</v>
      </c>
      <c r="C252">
        <v>0</v>
      </c>
      <c r="D252">
        <v>0</v>
      </c>
    </row>
    <row r="253" spans="1:4">
      <c r="A253">
        <v>0</v>
      </c>
      <c r="B253">
        <v>0</v>
      </c>
      <c r="C253">
        <v>0</v>
      </c>
      <c r="D253">
        <v>0</v>
      </c>
    </row>
    <row r="254" spans="1:4">
      <c r="A254">
        <v>0</v>
      </c>
      <c r="B254">
        <v>0</v>
      </c>
      <c r="C254">
        <v>0</v>
      </c>
      <c r="D254">
        <v>0</v>
      </c>
    </row>
    <row r="255" spans="1:4">
      <c r="A255">
        <v>0</v>
      </c>
      <c r="B255">
        <v>0</v>
      </c>
      <c r="C255">
        <v>0</v>
      </c>
      <c r="D255">
        <v>0</v>
      </c>
    </row>
    <row r="256" spans="1:4">
      <c r="A256">
        <v>0</v>
      </c>
      <c r="B256">
        <v>0</v>
      </c>
      <c r="C256">
        <v>0</v>
      </c>
      <c r="D256">
        <v>0</v>
      </c>
    </row>
    <row r="257" spans="1:4">
      <c r="A257">
        <v>0</v>
      </c>
      <c r="B257">
        <v>0</v>
      </c>
      <c r="C257">
        <v>0</v>
      </c>
      <c r="D257">
        <v>0</v>
      </c>
    </row>
    <row r="258" spans="1:4">
      <c r="A258">
        <v>0</v>
      </c>
      <c r="B258">
        <v>0</v>
      </c>
      <c r="C258">
        <v>0</v>
      </c>
      <c r="D258">
        <v>0</v>
      </c>
    </row>
    <row r="259" spans="1:4">
      <c r="A259">
        <v>0</v>
      </c>
      <c r="B259">
        <v>0</v>
      </c>
      <c r="C259">
        <v>0</v>
      </c>
      <c r="D259">
        <v>0</v>
      </c>
    </row>
    <row r="260" spans="1:4">
      <c r="A260">
        <v>0</v>
      </c>
      <c r="B260">
        <v>0</v>
      </c>
      <c r="C260">
        <v>0</v>
      </c>
      <c r="D260">
        <v>0</v>
      </c>
    </row>
    <row r="261" spans="1:4">
      <c r="A261">
        <v>0</v>
      </c>
      <c r="B261">
        <v>0</v>
      </c>
      <c r="C261">
        <v>0</v>
      </c>
      <c r="D261">
        <v>0</v>
      </c>
    </row>
    <row r="262" spans="1:4">
      <c r="A262">
        <v>0</v>
      </c>
      <c r="B262">
        <v>0</v>
      </c>
      <c r="C262">
        <v>0</v>
      </c>
      <c r="D262">
        <v>0</v>
      </c>
    </row>
    <row r="263" spans="1:4">
      <c r="A263">
        <v>0</v>
      </c>
      <c r="B263">
        <v>0</v>
      </c>
      <c r="C263">
        <v>0</v>
      </c>
      <c r="D263">
        <v>0</v>
      </c>
    </row>
    <row r="264" spans="1:4">
      <c r="A264">
        <v>0</v>
      </c>
      <c r="B264">
        <v>0</v>
      </c>
      <c r="C264">
        <v>0</v>
      </c>
      <c r="D264">
        <v>0</v>
      </c>
    </row>
    <row r="265" spans="1:4">
      <c r="A265">
        <v>0</v>
      </c>
      <c r="B265">
        <v>0</v>
      </c>
      <c r="C265">
        <v>0</v>
      </c>
      <c r="D265">
        <v>0</v>
      </c>
    </row>
    <row r="266" spans="1:4">
      <c r="A266">
        <v>0</v>
      </c>
      <c r="B266">
        <v>0</v>
      </c>
      <c r="C266">
        <v>0</v>
      </c>
      <c r="D266">
        <v>0</v>
      </c>
    </row>
    <row r="267" spans="1:4">
      <c r="A267">
        <v>0</v>
      </c>
      <c r="B267">
        <v>0</v>
      </c>
      <c r="C267">
        <v>0</v>
      </c>
      <c r="D267">
        <v>0</v>
      </c>
    </row>
    <row r="268" spans="1:4">
      <c r="A268">
        <v>0</v>
      </c>
      <c r="B268">
        <v>0</v>
      </c>
      <c r="C268">
        <v>0</v>
      </c>
      <c r="D268">
        <v>0</v>
      </c>
    </row>
    <row r="269" spans="1:4">
      <c r="A269">
        <v>0</v>
      </c>
      <c r="B269">
        <v>0</v>
      </c>
      <c r="C269">
        <v>0</v>
      </c>
      <c r="D269">
        <v>0</v>
      </c>
    </row>
    <row r="270" spans="1:4">
      <c r="A270">
        <v>0</v>
      </c>
      <c r="B270">
        <v>0</v>
      </c>
      <c r="C270">
        <v>0</v>
      </c>
      <c r="D270">
        <v>0</v>
      </c>
    </row>
    <row r="271" spans="1:4">
      <c r="A271">
        <v>0</v>
      </c>
      <c r="B271">
        <v>0</v>
      </c>
      <c r="C271">
        <v>0</v>
      </c>
      <c r="D271">
        <v>0</v>
      </c>
    </row>
    <row r="272" spans="1:4">
      <c r="A272">
        <v>0</v>
      </c>
      <c r="B272">
        <v>0</v>
      </c>
      <c r="C272">
        <v>0</v>
      </c>
      <c r="D272">
        <v>0</v>
      </c>
    </row>
    <row r="273" spans="1:4">
      <c r="A273">
        <v>0</v>
      </c>
      <c r="B273">
        <v>0</v>
      </c>
      <c r="C273">
        <v>0</v>
      </c>
      <c r="D273">
        <v>0</v>
      </c>
    </row>
    <row r="274" spans="1:4">
      <c r="A274">
        <v>0</v>
      </c>
      <c r="B274">
        <v>0</v>
      </c>
      <c r="C274">
        <v>0</v>
      </c>
      <c r="D274">
        <v>0</v>
      </c>
    </row>
    <row r="275" spans="1:4">
      <c r="A275">
        <v>0</v>
      </c>
      <c r="B275">
        <v>0</v>
      </c>
      <c r="C275">
        <v>0</v>
      </c>
      <c r="D275">
        <v>0</v>
      </c>
    </row>
    <row r="276" spans="1:4">
      <c r="A276">
        <v>0</v>
      </c>
      <c r="B276">
        <v>0</v>
      </c>
      <c r="C276">
        <v>0</v>
      </c>
      <c r="D276">
        <v>0</v>
      </c>
    </row>
    <row r="277" spans="1:4">
      <c r="A277">
        <v>0</v>
      </c>
      <c r="B277">
        <v>0</v>
      </c>
      <c r="C277">
        <v>0</v>
      </c>
      <c r="D277">
        <v>0</v>
      </c>
    </row>
    <row r="278" spans="1:4">
      <c r="A278">
        <v>0</v>
      </c>
      <c r="B278">
        <v>0</v>
      </c>
      <c r="C278">
        <v>0</v>
      </c>
      <c r="D278">
        <v>0</v>
      </c>
    </row>
    <row r="279" spans="1:4">
      <c r="A279">
        <v>0</v>
      </c>
      <c r="B279">
        <v>0</v>
      </c>
      <c r="C279">
        <v>0</v>
      </c>
      <c r="D279">
        <v>0</v>
      </c>
    </row>
    <row r="280" spans="1:4">
      <c r="A280">
        <v>0</v>
      </c>
      <c r="B280">
        <v>0</v>
      </c>
      <c r="C280">
        <v>0</v>
      </c>
      <c r="D280">
        <v>0</v>
      </c>
    </row>
    <row r="281" spans="1:4">
      <c r="A281">
        <v>0</v>
      </c>
      <c r="B281">
        <v>0</v>
      </c>
      <c r="C281">
        <v>0</v>
      </c>
      <c r="D281">
        <v>0</v>
      </c>
    </row>
    <row r="282" spans="1:4">
      <c r="A282">
        <v>0</v>
      </c>
      <c r="B282">
        <v>0</v>
      </c>
      <c r="C282">
        <v>0</v>
      </c>
      <c r="D282">
        <v>0</v>
      </c>
    </row>
    <row r="283" spans="1:4">
      <c r="A283">
        <v>0</v>
      </c>
      <c r="B283">
        <v>0</v>
      </c>
      <c r="C283">
        <v>0</v>
      </c>
      <c r="D283">
        <v>0</v>
      </c>
    </row>
    <row r="284" spans="1:4">
      <c r="A284">
        <v>0</v>
      </c>
      <c r="B284">
        <v>0</v>
      </c>
      <c r="C284">
        <v>0</v>
      </c>
      <c r="D284">
        <v>0</v>
      </c>
    </row>
    <row r="285" spans="1:4">
      <c r="A285">
        <v>0</v>
      </c>
      <c r="B285">
        <v>0</v>
      </c>
      <c r="C285">
        <v>0</v>
      </c>
      <c r="D285">
        <v>0</v>
      </c>
    </row>
    <row r="286" spans="1:4">
      <c r="A286">
        <v>0</v>
      </c>
      <c r="B286">
        <v>0</v>
      </c>
      <c r="C286">
        <v>0</v>
      </c>
      <c r="D286">
        <v>0</v>
      </c>
    </row>
    <row r="287" spans="1:4">
      <c r="A287">
        <v>0</v>
      </c>
      <c r="B287">
        <v>0</v>
      </c>
      <c r="C287">
        <v>0</v>
      </c>
      <c r="D287">
        <v>0</v>
      </c>
    </row>
    <row r="288" spans="1:4">
      <c r="A288">
        <v>0</v>
      </c>
      <c r="B288">
        <v>0</v>
      </c>
      <c r="C288">
        <v>0</v>
      </c>
      <c r="D288">
        <v>0</v>
      </c>
    </row>
    <row r="289" spans="1:4">
      <c r="A289">
        <v>0</v>
      </c>
      <c r="B289">
        <v>0</v>
      </c>
      <c r="C289">
        <v>0</v>
      </c>
      <c r="D289">
        <v>0</v>
      </c>
    </row>
    <row r="290" spans="1:4">
      <c r="A290">
        <v>0</v>
      </c>
      <c r="B290">
        <v>0</v>
      </c>
      <c r="C290">
        <v>0</v>
      </c>
      <c r="D290">
        <v>0</v>
      </c>
    </row>
    <row r="291" spans="1:4">
      <c r="A291">
        <v>0</v>
      </c>
      <c r="B291">
        <v>0</v>
      </c>
      <c r="C291">
        <v>0</v>
      </c>
      <c r="D291">
        <v>0</v>
      </c>
    </row>
    <row r="292" spans="1:4">
      <c r="A292">
        <v>0</v>
      </c>
      <c r="B292">
        <v>0</v>
      </c>
      <c r="C292">
        <v>0</v>
      </c>
      <c r="D292">
        <v>0</v>
      </c>
    </row>
    <row r="293" spans="1:4">
      <c r="A293">
        <v>0</v>
      </c>
      <c r="B293">
        <v>0</v>
      </c>
      <c r="C293">
        <v>0</v>
      </c>
      <c r="D293">
        <v>0</v>
      </c>
    </row>
    <row r="294" spans="1:4">
      <c r="A294">
        <v>0</v>
      </c>
      <c r="B294">
        <v>0</v>
      </c>
      <c r="C294">
        <v>0</v>
      </c>
      <c r="D294">
        <v>0</v>
      </c>
    </row>
    <row r="295" spans="1:4">
      <c r="A295">
        <v>0</v>
      </c>
      <c r="B295">
        <v>0</v>
      </c>
      <c r="C295">
        <v>0</v>
      </c>
      <c r="D295">
        <v>0</v>
      </c>
    </row>
    <row r="296" spans="1:4">
      <c r="A296">
        <v>0</v>
      </c>
      <c r="B296">
        <v>0</v>
      </c>
      <c r="C296">
        <v>0</v>
      </c>
      <c r="D296">
        <v>0</v>
      </c>
    </row>
    <row r="297" spans="1:4">
      <c r="A297">
        <v>0</v>
      </c>
      <c r="B297">
        <v>0</v>
      </c>
      <c r="C297">
        <v>0</v>
      </c>
      <c r="D297">
        <v>0</v>
      </c>
    </row>
    <row r="298" spans="1:4">
      <c r="A298">
        <v>0</v>
      </c>
      <c r="B298">
        <v>0</v>
      </c>
      <c r="C298">
        <v>0</v>
      </c>
      <c r="D298">
        <v>0</v>
      </c>
    </row>
    <row r="299" spans="1:4">
      <c r="A299">
        <v>0</v>
      </c>
      <c r="B299">
        <v>0</v>
      </c>
      <c r="C299">
        <v>0</v>
      </c>
      <c r="D299">
        <v>0</v>
      </c>
    </row>
    <row r="300" spans="1:4">
      <c r="A300">
        <v>0</v>
      </c>
      <c r="B300">
        <v>0</v>
      </c>
      <c r="C300">
        <v>0</v>
      </c>
      <c r="D300">
        <v>0</v>
      </c>
    </row>
    <row r="301" spans="1:4">
      <c r="A301">
        <v>0</v>
      </c>
      <c r="B301">
        <v>0</v>
      </c>
      <c r="C301">
        <v>0</v>
      </c>
      <c r="D301">
        <v>0</v>
      </c>
    </row>
    <row r="302" spans="1:4">
      <c r="A302">
        <v>0</v>
      </c>
      <c r="B302">
        <v>0</v>
      </c>
      <c r="C302">
        <v>0</v>
      </c>
      <c r="D302">
        <v>0</v>
      </c>
    </row>
    <row r="303" spans="1:4">
      <c r="A303">
        <v>0</v>
      </c>
      <c r="B303">
        <v>0</v>
      </c>
      <c r="C303">
        <v>0</v>
      </c>
      <c r="D303">
        <v>0</v>
      </c>
    </row>
    <row r="304" spans="1:4">
      <c r="A304">
        <v>0</v>
      </c>
      <c r="B304">
        <v>0</v>
      </c>
      <c r="C304">
        <v>0</v>
      </c>
      <c r="D304">
        <v>0</v>
      </c>
    </row>
    <row r="305" spans="1:4">
      <c r="A305">
        <v>0</v>
      </c>
      <c r="B305">
        <v>0</v>
      </c>
      <c r="C305">
        <v>0</v>
      </c>
      <c r="D305">
        <v>0</v>
      </c>
    </row>
    <row r="306" spans="1:4">
      <c r="A306">
        <v>0</v>
      </c>
      <c r="B306">
        <v>0</v>
      </c>
      <c r="C306">
        <v>0</v>
      </c>
      <c r="D306">
        <v>0</v>
      </c>
    </row>
    <row r="307" spans="1:4">
      <c r="A307">
        <v>0</v>
      </c>
      <c r="B307">
        <v>0</v>
      </c>
      <c r="C307">
        <v>0</v>
      </c>
      <c r="D307">
        <v>0</v>
      </c>
    </row>
    <row r="308" spans="1:4">
      <c r="A308">
        <v>0</v>
      </c>
      <c r="B308">
        <v>0</v>
      </c>
      <c r="C308">
        <v>0</v>
      </c>
      <c r="D308">
        <v>0</v>
      </c>
    </row>
    <row r="309" spans="1:4">
      <c r="A309">
        <v>0</v>
      </c>
      <c r="B309">
        <v>0</v>
      </c>
      <c r="C309">
        <v>0</v>
      </c>
      <c r="D309">
        <v>0</v>
      </c>
    </row>
    <row r="310" spans="1:4">
      <c r="A310">
        <v>0</v>
      </c>
      <c r="B310">
        <v>0</v>
      </c>
      <c r="C310">
        <v>0</v>
      </c>
      <c r="D310">
        <v>0</v>
      </c>
    </row>
    <row r="311" spans="1:4">
      <c r="A311">
        <v>0</v>
      </c>
      <c r="B311">
        <v>0</v>
      </c>
      <c r="C311">
        <v>0</v>
      </c>
      <c r="D311">
        <v>0</v>
      </c>
    </row>
    <row r="312" spans="1:4">
      <c r="A312">
        <v>0</v>
      </c>
      <c r="B312">
        <v>0</v>
      </c>
      <c r="C312">
        <v>0</v>
      </c>
      <c r="D312">
        <v>0</v>
      </c>
    </row>
    <row r="313" spans="1:4">
      <c r="A313">
        <v>0</v>
      </c>
      <c r="B313">
        <v>0</v>
      </c>
      <c r="C313">
        <v>0</v>
      </c>
      <c r="D313">
        <v>0</v>
      </c>
    </row>
    <row r="314" spans="1:4">
      <c r="A314">
        <v>0</v>
      </c>
      <c r="B314">
        <v>0</v>
      </c>
      <c r="C314">
        <v>0</v>
      </c>
      <c r="D314">
        <v>0</v>
      </c>
    </row>
    <row r="315" spans="1:4">
      <c r="A315">
        <v>0</v>
      </c>
      <c r="B315">
        <v>0</v>
      </c>
      <c r="C315">
        <v>0</v>
      </c>
      <c r="D315">
        <v>0</v>
      </c>
    </row>
    <row r="316" spans="1:4">
      <c r="A316">
        <v>0</v>
      </c>
      <c r="B316">
        <v>0</v>
      </c>
      <c r="C316">
        <v>0</v>
      </c>
      <c r="D316">
        <v>0</v>
      </c>
    </row>
    <row r="317" spans="1:4">
      <c r="A317">
        <v>0</v>
      </c>
      <c r="B317">
        <v>0</v>
      </c>
      <c r="C317">
        <v>0</v>
      </c>
      <c r="D317">
        <v>0</v>
      </c>
    </row>
    <row r="318" spans="1:4">
      <c r="A318">
        <v>0</v>
      </c>
      <c r="B318">
        <v>0</v>
      </c>
      <c r="C318">
        <v>0</v>
      </c>
      <c r="D318">
        <v>0</v>
      </c>
    </row>
    <row r="319" spans="1:4">
      <c r="A319">
        <v>0</v>
      </c>
      <c r="B319">
        <v>0</v>
      </c>
      <c r="C319">
        <v>0</v>
      </c>
      <c r="D319">
        <v>0</v>
      </c>
    </row>
    <row r="320" spans="1:4">
      <c r="A320">
        <v>0</v>
      </c>
      <c r="B320">
        <v>0</v>
      </c>
      <c r="C320">
        <v>0</v>
      </c>
      <c r="D320">
        <v>0</v>
      </c>
    </row>
    <row r="321" spans="1:4">
      <c r="A321">
        <v>0</v>
      </c>
      <c r="B321">
        <v>0</v>
      </c>
      <c r="C321">
        <v>0</v>
      </c>
      <c r="D321">
        <v>0</v>
      </c>
    </row>
    <row r="322" spans="1:4">
      <c r="A322">
        <v>0</v>
      </c>
      <c r="B322">
        <v>0</v>
      </c>
      <c r="C322">
        <v>0</v>
      </c>
      <c r="D322">
        <v>0</v>
      </c>
    </row>
    <row r="323" spans="1:4">
      <c r="A323">
        <v>0</v>
      </c>
      <c r="B323">
        <v>0</v>
      </c>
      <c r="C323">
        <v>0</v>
      </c>
      <c r="D323">
        <v>0</v>
      </c>
    </row>
    <row r="324" spans="1:4">
      <c r="A324">
        <v>0</v>
      </c>
      <c r="B324">
        <v>0</v>
      </c>
      <c r="C324">
        <v>0</v>
      </c>
      <c r="D324">
        <v>0</v>
      </c>
    </row>
    <row r="325" spans="1:4">
      <c r="A325">
        <v>0</v>
      </c>
      <c r="B325">
        <v>0</v>
      </c>
      <c r="C325">
        <v>0</v>
      </c>
      <c r="D325">
        <v>0</v>
      </c>
    </row>
    <row r="326" spans="1:4">
      <c r="A326">
        <v>0</v>
      </c>
      <c r="B326">
        <v>0</v>
      </c>
      <c r="C326">
        <v>0</v>
      </c>
      <c r="D326">
        <v>0</v>
      </c>
    </row>
    <row r="327" spans="1:4">
      <c r="A327">
        <v>0</v>
      </c>
      <c r="B327">
        <v>0</v>
      </c>
      <c r="C327">
        <v>0</v>
      </c>
      <c r="D327">
        <v>0</v>
      </c>
    </row>
    <row r="328" spans="1:4">
      <c r="A328">
        <v>0</v>
      </c>
      <c r="B328">
        <v>0</v>
      </c>
      <c r="C328">
        <v>0</v>
      </c>
      <c r="D328">
        <v>0</v>
      </c>
    </row>
    <row r="329" spans="1:4">
      <c r="A329">
        <v>0</v>
      </c>
      <c r="B329">
        <v>0</v>
      </c>
      <c r="C329">
        <v>0</v>
      </c>
      <c r="D329">
        <v>0</v>
      </c>
    </row>
    <row r="330" spans="1:4">
      <c r="A330">
        <v>0</v>
      </c>
      <c r="B330">
        <v>0</v>
      </c>
      <c r="C330">
        <v>0</v>
      </c>
      <c r="D330">
        <v>0</v>
      </c>
    </row>
    <row r="331" spans="1:4">
      <c r="A331">
        <v>0</v>
      </c>
      <c r="B331">
        <v>0</v>
      </c>
      <c r="C331">
        <v>0</v>
      </c>
      <c r="D331">
        <v>0</v>
      </c>
    </row>
  </sheetData>
  <sheetProtection password="E4E4" sheet="1" objects="1" scenarios="1"/>
  <mergeCells count="133">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 ref="F53:P53"/>
    <mergeCell ref="F54:P54"/>
    <mergeCell ref="F55:P55"/>
    <mergeCell ref="F56:P56"/>
    <mergeCell ref="F57:P57"/>
    <mergeCell ref="F58:P58"/>
    <mergeCell ref="F59:P59"/>
    <mergeCell ref="F60:P60"/>
    <mergeCell ref="F61:P61"/>
    <mergeCell ref="F62:P62"/>
    <mergeCell ref="F63:P63"/>
    <mergeCell ref="F64:P64"/>
    <mergeCell ref="F65:P65"/>
    <mergeCell ref="F66:P66"/>
    <mergeCell ref="F67:P67"/>
    <mergeCell ref="F68:P68"/>
    <mergeCell ref="F69:P69"/>
    <mergeCell ref="F70:P70"/>
    <mergeCell ref="F71:P71"/>
    <mergeCell ref="F72:P72"/>
    <mergeCell ref="F73:P73"/>
    <mergeCell ref="F74:P74"/>
    <mergeCell ref="F75:P75"/>
    <mergeCell ref="F76:P76"/>
    <mergeCell ref="F77:P77"/>
    <mergeCell ref="F78:P78"/>
    <mergeCell ref="F79:P79"/>
    <mergeCell ref="F80:P80"/>
    <mergeCell ref="F81:P81"/>
    <mergeCell ref="F82:P82"/>
    <mergeCell ref="F83:P83"/>
    <mergeCell ref="F84:P84"/>
    <mergeCell ref="F85:P85"/>
    <mergeCell ref="F86:P86"/>
    <mergeCell ref="F87:P87"/>
    <mergeCell ref="F88:P88"/>
    <mergeCell ref="F89:P89"/>
    <mergeCell ref="F90:P90"/>
    <mergeCell ref="F91:P91"/>
    <mergeCell ref="F92:P92"/>
    <mergeCell ref="F93:P93"/>
    <mergeCell ref="F94:P94"/>
    <mergeCell ref="F95:P95"/>
    <mergeCell ref="F96:P96"/>
    <mergeCell ref="F97:P97"/>
    <mergeCell ref="F98:P98"/>
    <mergeCell ref="F99:P99"/>
    <mergeCell ref="F100:P100"/>
    <mergeCell ref="F101:P101"/>
    <mergeCell ref="F102:P102"/>
    <mergeCell ref="F103:P103"/>
    <mergeCell ref="F104:P104"/>
    <mergeCell ref="F105:P105"/>
    <mergeCell ref="F106:P106"/>
    <mergeCell ref="F107:P107"/>
    <mergeCell ref="F108:P108"/>
    <mergeCell ref="F109:P109"/>
    <mergeCell ref="F110:P110"/>
    <mergeCell ref="F111:P111"/>
    <mergeCell ref="F112:P112"/>
    <mergeCell ref="F113:P113"/>
    <mergeCell ref="F114:P114"/>
    <mergeCell ref="F115:P115"/>
    <mergeCell ref="F116:P116"/>
    <mergeCell ref="F117:P117"/>
    <mergeCell ref="F118:P118"/>
    <mergeCell ref="F119:P119"/>
    <mergeCell ref="F120:P120"/>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V331"/>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770</v>
      </c>
    </row>
    <row r="2" spans="1:22">
      <c r="F2" s="15" t="s">
        <v>39</v>
      </c>
      <c r="G2" s="16" t="s">
        <v>40</v>
      </c>
      <c r="H2" s="16"/>
      <c r="I2" s="16"/>
      <c r="J2" s="16" t="s">
        <v>41</v>
      </c>
      <c r="K2" s="16"/>
      <c r="L2" s="16"/>
      <c r="M2" s="16" t="s">
        <v>42</v>
      </c>
      <c r="N2" s="16"/>
      <c r="O2" s="16"/>
      <c r="U2" t="s">
        <v>755</v>
      </c>
      <c r="V2">
        <f>CountIf(data_summary_by_question!D2:D321,$V$1)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771</v>
      </c>
      <c r="G10" s="20"/>
      <c r="H10" s="20"/>
      <c r="I10" s="20"/>
      <c r="J10" s="20"/>
      <c r="K10" s="20"/>
      <c r="L10" s="20"/>
      <c r="M10" s="20"/>
      <c r="N10" s="20"/>
      <c r="O10" s="20"/>
      <c r="P10" s="20"/>
    </row>
    <row r="11" spans="1:22" ht="48" customHeight="1">
      <c r="A11" cm="1">
        <f t="array" ref="A11:D331">_xlfn._xlws.FILTER(data_summary_by_question!A2:D321,data_summary_by_question!D2:D321=$V$1)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ht="48" customHeight="1">
      <c r="A53">
        <v>0</v>
      </c>
      <c r="B53">
        <v>0</v>
      </c>
      <c r="C53">
        <v>0</v>
      </c>
      <c r="D53">
        <v>0</v>
      </c>
      <c r="F53" s="27">
        <f>IF(U6,IF(V2&lt;=1,"", IF(ISNA(C53),"",A53&amp; " - " &amp; C53)),"")</f>
        <v>0</v>
      </c>
      <c r="G53" s="27"/>
      <c r="H53" s="27"/>
      <c r="I53" s="27"/>
      <c r="J53" s="27"/>
      <c r="K53" s="27"/>
      <c r="L53" s="27"/>
      <c r="M53" s="27"/>
      <c r="N53" s="27"/>
      <c r="O53" s="27"/>
      <c r="P53" s="27"/>
    </row>
    <row r="54" spans="1:16" ht="48" customHeight="1">
      <c r="A54">
        <v>0</v>
      </c>
      <c r="B54">
        <v>0</v>
      </c>
      <c r="C54">
        <v>0</v>
      </c>
      <c r="D54">
        <v>0</v>
      </c>
      <c r="F54" s="27">
        <f>IF(U6,IF(V2&lt;=1,"", IF(ISNA(C54),"",A54&amp; " - " &amp; C54)),"")</f>
        <v>0</v>
      </c>
      <c r="G54" s="27"/>
      <c r="H54" s="27"/>
      <c r="I54" s="27"/>
      <c r="J54" s="27"/>
      <c r="K54" s="27"/>
      <c r="L54" s="27"/>
      <c r="M54" s="27"/>
      <c r="N54" s="27"/>
      <c r="O54" s="27"/>
      <c r="P54" s="27"/>
    </row>
    <row r="55" spans="1:16" ht="48" customHeight="1">
      <c r="A55">
        <v>0</v>
      </c>
      <c r="B55">
        <v>0</v>
      </c>
      <c r="C55">
        <v>0</v>
      </c>
      <c r="D55">
        <v>0</v>
      </c>
      <c r="F55" s="27">
        <f>IF(U6,IF(V2&lt;=1,"", IF(ISNA(C55),"",A55&amp; " - " &amp; C55)),"")</f>
        <v>0</v>
      </c>
      <c r="G55" s="27"/>
      <c r="H55" s="27"/>
      <c r="I55" s="27"/>
      <c r="J55" s="27"/>
      <c r="K55" s="27"/>
      <c r="L55" s="27"/>
      <c r="M55" s="27"/>
      <c r="N55" s="27"/>
      <c r="O55" s="27"/>
      <c r="P55" s="27"/>
    </row>
    <row r="56" spans="1:16" ht="48" customHeight="1">
      <c r="A56">
        <v>0</v>
      </c>
      <c r="B56">
        <v>0</v>
      </c>
      <c r="C56">
        <v>0</v>
      </c>
      <c r="D56">
        <v>0</v>
      </c>
      <c r="F56" s="27">
        <f>IF(U6,IF(V2&lt;=1,"", IF(ISNA(C56),"",A56&amp; " - " &amp; C56)),"")</f>
        <v>0</v>
      </c>
      <c r="G56" s="27"/>
      <c r="H56" s="27"/>
      <c r="I56" s="27"/>
      <c r="J56" s="27"/>
      <c r="K56" s="27"/>
      <c r="L56" s="27"/>
      <c r="M56" s="27"/>
      <c r="N56" s="27"/>
      <c r="O56" s="27"/>
      <c r="P56" s="27"/>
    </row>
    <row r="57" spans="1:16" ht="48" customHeight="1">
      <c r="A57">
        <v>0</v>
      </c>
      <c r="B57">
        <v>0</v>
      </c>
      <c r="C57">
        <v>0</v>
      </c>
      <c r="D57">
        <v>0</v>
      </c>
      <c r="F57" s="27">
        <f>IF(U6,IF(V2&lt;=1,"", IF(ISNA(C57),"",A57&amp; " - " &amp; C57)),"")</f>
        <v>0</v>
      </c>
      <c r="G57" s="27"/>
      <c r="H57" s="27"/>
      <c r="I57" s="27"/>
      <c r="J57" s="27"/>
      <c r="K57" s="27"/>
      <c r="L57" s="27"/>
      <c r="M57" s="27"/>
      <c r="N57" s="27"/>
      <c r="O57" s="27"/>
      <c r="P57" s="27"/>
    </row>
    <row r="58" spans="1:16" ht="48" customHeight="1">
      <c r="A58">
        <v>0</v>
      </c>
      <c r="B58">
        <v>0</v>
      </c>
      <c r="C58">
        <v>0</v>
      </c>
      <c r="D58">
        <v>0</v>
      </c>
      <c r="F58" s="27">
        <f>IF(U6,IF(V2&lt;=1,"", IF(ISNA(C58),"",A58&amp; " - " &amp; C58)),"")</f>
        <v>0</v>
      </c>
      <c r="G58" s="27"/>
      <c r="H58" s="27"/>
      <c r="I58" s="27"/>
      <c r="J58" s="27"/>
      <c r="K58" s="27"/>
      <c r="L58" s="27"/>
      <c r="M58" s="27"/>
      <c r="N58" s="27"/>
      <c r="O58" s="27"/>
      <c r="P58" s="27"/>
    </row>
    <row r="59" spans="1:16" ht="48" customHeight="1">
      <c r="A59">
        <v>0</v>
      </c>
      <c r="B59">
        <v>0</v>
      </c>
      <c r="C59">
        <v>0</v>
      </c>
      <c r="D59">
        <v>0</v>
      </c>
      <c r="F59" s="27">
        <f>IF(U6,IF(V2&lt;=1,"", IF(ISNA(C59),"",A59&amp; " - " &amp; C59)),"")</f>
        <v>0</v>
      </c>
      <c r="G59" s="27"/>
      <c r="H59" s="27"/>
      <c r="I59" s="27"/>
      <c r="J59" s="27"/>
      <c r="K59" s="27"/>
      <c r="L59" s="27"/>
      <c r="M59" s="27"/>
      <c r="N59" s="27"/>
      <c r="O59" s="27"/>
      <c r="P59" s="27"/>
    </row>
    <row r="60" spans="1:16" ht="48" customHeight="1">
      <c r="A60">
        <v>0</v>
      </c>
      <c r="B60">
        <v>0</v>
      </c>
      <c r="C60">
        <v>0</v>
      </c>
      <c r="D60">
        <v>0</v>
      </c>
      <c r="F60" s="27">
        <f>IF(U6,IF(V2&lt;=1,"", IF(ISNA(C60),"",A60&amp; " - " &amp; C60)),"")</f>
        <v>0</v>
      </c>
      <c r="G60" s="27"/>
      <c r="H60" s="27"/>
      <c r="I60" s="27"/>
      <c r="J60" s="27"/>
      <c r="K60" s="27"/>
      <c r="L60" s="27"/>
      <c r="M60" s="27"/>
      <c r="N60" s="27"/>
      <c r="O60" s="27"/>
      <c r="P60" s="27"/>
    </row>
    <row r="61" spans="1:16" ht="48" customHeight="1">
      <c r="A61">
        <v>0</v>
      </c>
      <c r="B61">
        <v>0</v>
      </c>
      <c r="C61">
        <v>0</v>
      </c>
      <c r="D61">
        <v>0</v>
      </c>
      <c r="F61" s="27">
        <f>IF(U6,IF(V2&lt;=1,"", IF(ISNA(C61),"",A61&amp; " - " &amp; C61)),"")</f>
        <v>0</v>
      </c>
      <c r="G61" s="27"/>
      <c r="H61" s="27"/>
      <c r="I61" s="27"/>
      <c r="J61" s="27"/>
      <c r="K61" s="27"/>
      <c r="L61" s="27"/>
      <c r="M61" s="27"/>
      <c r="N61" s="27"/>
      <c r="O61" s="27"/>
      <c r="P61" s="27"/>
    </row>
    <row r="62" spans="1:16" ht="48" customHeight="1">
      <c r="A62">
        <v>0</v>
      </c>
      <c r="B62">
        <v>0</v>
      </c>
      <c r="C62">
        <v>0</v>
      </c>
      <c r="D62">
        <v>0</v>
      </c>
      <c r="F62" s="27">
        <f>IF(U6,IF(V2&lt;=1,"", IF(ISNA(C62),"",A62&amp; " - " &amp; C62)),"")</f>
        <v>0</v>
      </c>
      <c r="G62" s="27"/>
      <c r="H62" s="27"/>
      <c r="I62" s="27"/>
      <c r="J62" s="27"/>
      <c r="K62" s="27"/>
      <c r="L62" s="27"/>
      <c r="M62" s="27"/>
      <c r="N62" s="27"/>
      <c r="O62" s="27"/>
      <c r="P62" s="27"/>
    </row>
    <row r="63" spans="1:16" ht="48" customHeight="1">
      <c r="A63">
        <v>0</v>
      </c>
      <c r="B63">
        <v>0</v>
      </c>
      <c r="C63">
        <v>0</v>
      </c>
      <c r="D63">
        <v>0</v>
      </c>
      <c r="F63" s="27">
        <f>IF(U6,IF(V2&lt;=1,"", IF(ISNA(C63),"",A63&amp; " - " &amp; C63)),"")</f>
        <v>0</v>
      </c>
      <c r="G63" s="27"/>
      <c r="H63" s="27"/>
      <c r="I63" s="27"/>
      <c r="J63" s="27"/>
      <c r="K63" s="27"/>
      <c r="L63" s="27"/>
      <c r="M63" s="27"/>
      <c r="N63" s="27"/>
      <c r="O63" s="27"/>
      <c r="P63" s="27"/>
    </row>
    <row r="64" spans="1:16" ht="48" customHeight="1">
      <c r="A64">
        <v>0</v>
      </c>
      <c r="B64">
        <v>0</v>
      </c>
      <c r="C64">
        <v>0</v>
      </c>
      <c r="D64">
        <v>0</v>
      </c>
      <c r="F64" s="27">
        <f>IF(U6,IF(V2&lt;=1,"", IF(ISNA(C64),"",A64&amp; " - " &amp; C64)),"")</f>
        <v>0</v>
      </c>
      <c r="G64" s="27"/>
      <c r="H64" s="27"/>
      <c r="I64" s="27"/>
      <c r="J64" s="27"/>
      <c r="K64" s="27"/>
      <c r="L64" s="27"/>
      <c r="M64" s="27"/>
      <c r="N64" s="27"/>
      <c r="O64" s="27"/>
      <c r="P64" s="27"/>
    </row>
    <row r="65" spans="1:16" ht="48" customHeight="1">
      <c r="A65">
        <v>0</v>
      </c>
      <c r="B65">
        <v>0</v>
      </c>
      <c r="C65">
        <v>0</v>
      </c>
      <c r="D65">
        <v>0</v>
      </c>
      <c r="F65" s="27">
        <f>IF(U6,IF(V2&lt;=1,"", IF(ISNA(C65),"",A65&amp; " - " &amp; C65)),"")</f>
        <v>0</v>
      </c>
      <c r="G65" s="27"/>
      <c r="H65" s="27"/>
      <c r="I65" s="27"/>
      <c r="J65" s="27"/>
      <c r="K65" s="27"/>
      <c r="L65" s="27"/>
      <c r="M65" s="27"/>
      <c r="N65" s="27"/>
      <c r="O65" s="27"/>
      <c r="P65" s="27"/>
    </row>
    <row r="66" spans="1:16" ht="48" customHeight="1">
      <c r="A66">
        <v>0</v>
      </c>
      <c r="B66">
        <v>0</v>
      </c>
      <c r="C66">
        <v>0</v>
      </c>
      <c r="D66">
        <v>0</v>
      </c>
      <c r="F66" s="27">
        <f>IF(U6,IF(V2&lt;=1,"", IF(ISNA(C66),"",A66&amp; " - " &amp; C66)),"")</f>
        <v>0</v>
      </c>
      <c r="G66" s="27"/>
      <c r="H66" s="27"/>
      <c r="I66" s="27"/>
      <c r="J66" s="27"/>
      <c r="K66" s="27"/>
      <c r="L66" s="27"/>
      <c r="M66" s="27"/>
      <c r="N66" s="27"/>
      <c r="O66" s="27"/>
      <c r="P66" s="27"/>
    </row>
    <row r="67" spans="1:16" ht="48" customHeight="1">
      <c r="A67">
        <v>0</v>
      </c>
      <c r="B67">
        <v>0</v>
      </c>
      <c r="C67">
        <v>0</v>
      </c>
      <c r="D67">
        <v>0</v>
      </c>
      <c r="F67" s="27">
        <f>IF(U6,IF(V2&lt;=1,"", IF(ISNA(C67),"",A67&amp; " - " &amp; C67)),"")</f>
        <v>0</v>
      </c>
      <c r="G67" s="27"/>
      <c r="H67" s="27"/>
      <c r="I67" s="27"/>
      <c r="J67" s="27"/>
      <c r="K67" s="27"/>
      <c r="L67" s="27"/>
      <c r="M67" s="27"/>
      <c r="N67" s="27"/>
      <c r="O67" s="27"/>
      <c r="P67" s="27"/>
    </row>
    <row r="68" spans="1:16" ht="48" customHeight="1">
      <c r="A68">
        <v>0</v>
      </c>
      <c r="B68">
        <v>0</v>
      </c>
      <c r="C68">
        <v>0</v>
      </c>
      <c r="D68">
        <v>0</v>
      </c>
      <c r="F68" s="27">
        <f>IF(U6,IF(V2&lt;=1,"", IF(ISNA(C68),"",A68&amp; " - " &amp; C68)),"")</f>
        <v>0</v>
      </c>
      <c r="G68" s="27"/>
      <c r="H68" s="27"/>
      <c r="I68" s="27"/>
      <c r="J68" s="27"/>
      <c r="K68" s="27"/>
      <c r="L68" s="27"/>
      <c r="M68" s="27"/>
      <c r="N68" s="27"/>
      <c r="O68" s="27"/>
      <c r="P68" s="27"/>
    </row>
    <row r="69" spans="1:16" ht="48" customHeight="1">
      <c r="A69">
        <v>0</v>
      </c>
      <c r="B69">
        <v>0</v>
      </c>
      <c r="C69">
        <v>0</v>
      </c>
      <c r="D69">
        <v>0</v>
      </c>
      <c r="F69" s="27">
        <f>IF(U6,IF(V2&lt;=1,"", IF(ISNA(C69),"",A69&amp; " - " &amp; C69)),"")</f>
        <v>0</v>
      </c>
      <c r="G69" s="27"/>
      <c r="H69" s="27"/>
      <c r="I69" s="27"/>
      <c r="J69" s="27"/>
      <c r="K69" s="27"/>
      <c r="L69" s="27"/>
      <c r="M69" s="27"/>
      <c r="N69" s="27"/>
      <c r="O69" s="27"/>
      <c r="P69" s="27"/>
    </row>
    <row r="70" spans="1:16" ht="48" customHeight="1">
      <c r="A70">
        <v>0</v>
      </c>
      <c r="B70">
        <v>0</v>
      </c>
      <c r="C70">
        <v>0</v>
      </c>
      <c r="D70">
        <v>0</v>
      </c>
      <c r="F70" s="27">
        <f>IF(U6,IF(V2&lt;=1,"", IF(ISNA(C70),"",A70&amp; " - " &amp; C70)),"")</f>
        <v>0</v>
      </c>
      <c r="G70" s="27"/>
      <c r="H70" s="27"/>
      <c r="I70" s="27"/>
      <c r="J70" s="27"/>
      <c r="K70" s="27"/>
      <c r="L70" s="27"/>
      <c r="M70" s="27"/>
      <c r="N70" s="27"/>
      <c r="O70" s="27"/>
      <c r="P70" s="27"/>
    </row>
    <row r="71" spans="1:16" ht="48" customHeight="1">
      <c r="A71">
        <v>0</v>
      </c>
      <c r="B71">
        <v>0</v>
      </c>
      <c r="C71">
        <v>0</v>
      </c>
      <c r="D71">
        <v>0</v>
      </c>
      <c r="F71" s="27">
        <f>IF(U6,IF(V2&lt;=1,"", IF(ISNA(C71),"",A71&amp; " - " &amp; C71)),"")</f>
        <v>0</v>
      </c>
      <c r="G71" s="27"/>
      <c r="H71" s="27"/>
      <c r="I71" s="27"/>
      <c r="J71" s="27"/>
      <c r="K71" s="27"/>
      <c r="L71" s="27"/>
      <c r="M71" s="27"/>
      <c r="N71" s="27"/>
      <c r="O71" s="27"/>
      <c r="P71" s="27"/>
    </row>
    <row r="72" spans="1:16" ht="48" customHeight="1">
      <c r="A72">
        <v>0</v>
      </c>
      <c r="B72">
        <v>0</v>
      </c>
      <c r="C72">
        <v>0</v>
      </c>
      <c r="D72">
        <v>0</v>
      </c>
      <c r="F72" s="27">
        <f>IF(U6,IF(V2&lt;=1,"", IF(ISNA(C72),"",A72&amp; " - " &amp; C72)),"")</f>
        <v>0</v>
      </c>
      <c r="G72" s="27"/>
      <c r="H72" s="27"/>
      <c r="I72" s="27"/>
      <c r="J72" s="27"/>
      <c r="K72" s="27"/>
      <c r="L72" s="27"/>
      <c r="M72" s="27"/>
      <c r="N72" s="27"/>
      <c r="O72" s="27"/>
      <c r="P72" s="27"/>
    </row>
    <row r="73" spans="1:16" ht="48" customHeight="1">
      <c r="A73">
        <v>0</v>
      </c>
      <c r="B73">
        <v>0</v>
      </c>
      <c r="C73">
        <v>0</v>
      </c>
      <c r="D73">
        <v>0</v>
      </c>
      <c r="F73" s="27">
        <f>IF(U6,IF(V2&lt;=1,"", IF(ISNA(C73),"",A73&amp; " - " &amp; C73)),"")</f>
        <v>0</v>
      </c>
      <c r="G73" s="27"/>
      <c r="H73" s="27"/>
      <c r="I73" s="27"/>
      <c r="J73" s="27"/>
      <c r="K73" s="27"/>
      <c r="L73" s="27"/>
      <c r="M73" s="27"/>
      <c r="N73" s="27"/>
      <c r="O73" s="27"/>
      <c r="P73" s="27"/>
    </row>
    <row r="74" spans="1:16" ht="48" customHeight="1">
      <c r="A74">
        <v>0</v>
      </c>
      <c r="B74">
        <v>0</v>
      </c>
      <c r="C74">
        <v>0</v>
      </c>
      <c r="D74">
        <v>0</v>
      </c>
      <c r="F74" s="27">
        <f>IF(U6,IF(V2&lt;=1,"", IF(ISNA(C74),"",A74&amp; " - " &amp; C74)),"")</f>
        <v>0</v>
      </c>
      <c r="G74" s="27"/>
      <c r="H74" s="27"/>
      <c r="I74" s="27"/>
      <c r="J74" s="27"/>
      <c r="K74" s="27"/>
      <c r="L74" s="27"/>
      <c r="M74" s="27"/>
      <c r="N74" s="27"/>
      <c r="O74" s="27"/>
      <c r="P74" s="27"/>
    </row>
    <row r="75" spans="1:16" ht="48" customHeight="1">
      <c r="A75">
        <v>0</v>
      </c>
      <c r="B75">
        <v>0</v>
      </c>
      <c r="C75">
        <v>0</v>
      </c>
      <c r="D75">
        <v>0</v>
      </c>
      <c r="F75" s="27">
        <f>IF(U6,IF(V2&lt;=1,"", IF(ISNA(C75),"",A75&amp; " - " &amp; C75)),"")</f>
        <v>0</v>
      </c>
      <c r="G75" s="27"/>
      <c r="H75" s="27"/>
      <c r="I75" s="27"/>
      <c r="J75" s="27"/>
      <c r="K75" s="27"/>
      <c r="L75" s="27"/>
      <c r="M75" s="27"/>
      <c r="N75" s="27"/>
      <c r="O75" s="27"/>
      <c r="P75" s="27"/>
    </row>
    <row r="76" spans="1:16" ht="48" customHeight="1">
      <c r="A76">
        <v>0</v>
      </c>
      <c r="B76">
        <v>0</v>
      </c>
      <c r="C76">
        <v>0</v>
      </c>
      <c r="D76">
        <v>0</v>
      </c>
      <c r="F76" s="27">
        <f>IF(U6,IF(V2&lt;=1,"", IF(ISNA(C76),"",A76&amp; " - " &amp; C76)),"")</f>
        <v>0</v>
      </c>
      <c r="G76" s="27"/>
      <c r="H76" s="27"/>
      <c r="I76" s="27"/>
      <c r="J76" s="27"/>
      <c r="K76" s="27"/>
      <c r="L76" s="27"/>
      <c r="M76" s="27"/>
      <c r="N76" s="27"/>
      <c r="O76" s="27"/>
      <c r="P76" s="27"/>
    </row>
    <row r="77" spans="1:16" ht="48" customHeight="1">
      <c r="A77">
        <v>0</v>
      </c>
      <c r="B77">
        <v>0</v>
      </c>
      <c r="C77">
        <v>0</v>
      </c>
      <c r="D77">
        <v>0</v>
      </c>
      <c r="F77" s="27">
        <f>IF(U6,IF(V2&lt;=1,"", IF(ISNA(C77),"",A77&amp; " - " &amp; C77)),"")</f>
        <v>0</v>
      </c>
      <c r="G77" s="27"/>
      <c r="H77" s="27"/>
      <c r="I77" s="27"/>
      <c r="J77" s="27"/>
      <c r="K77" s="27"/>
      <c r="L77" s="27"/>
      <c r="M77" s="27"/>
      <c r="N77" s="27"/>
      <c r="O77" s="27"/>
      <c r="P77" s="27"/>
    </row>
    <row r="78" spans="1:16" ht="48" customHeight="1">
      <c r="A78">
        <v>0</v>
      </c>
      <c r="B78">
        <v>0</v>
      </c>
      <c r="C78">
        <v>0</v>
      </c>
      <c r="D78">
        <v>0</v>
      </c>
      <c r="F78" s="27">
        <f>IF(U6,IF(V2&lt;=1,"", IF(ISNA(C78),"",A78&amp; " - " &amp; C78)),"")</f>
        <v>0</v>
      </c>
      <c r="G78" s="27"/>
      <c r="H78" s="27"/>
      <c r="I78" s="27"/>
      <c r="J78" s="27"/>
      <c r="K78" s="27"/>
      <c r="L78" s="27"/>
      <c r="M78" s="27"/>
      <c r="N78" s="27"/>
      <c r="O78" s="27"/>
      <c r="P78" s="27"/>
    </row>
    <row r="79" spans="1:16" ht="48" customHeight="1">
      <c r="A79">
        <v>0</v>
      </c>
      <c r="B79">
        <v>0</v>
      </c>
      <c r="C79">
        <v>0</v>
      </c>
      <c r="D79">
        <v>0</v>
      </c>
      <c r="F79" s="27">
        <f>IF(U6,IF(V2&lt;=1,"", IF(ISNA(C79),"",A79&amp; " - " &amp; C79)),"")</f>
        <v>0</v>
      </c>
      <c r="G79" s="27"/>
      <c r="H79" s="27"/>
      <c r="I79" s="27"/>
      <c r="J79" s="27"/>
      <c r="K79" s="27"/>
      <c r="L79" s="27"/>
      <c r="M79" s="27"/>
      <c r="N79" s="27"/>
      <c r="O79" s="27"/>
      <c r="P79" s="27"/>
    </row>
    <row r="80" spans="1:16" ht="48" customHeight="1">
      <c r="A80">
        <v>0</v>
      </c>
      <c r="B80">
        <v>0</v>
      </c>
      <c r="C80">
        <v>0</v>
      </c>
      <c r="D80">
        <v>0</v>
      </c>
      <c r="F80" s="27">
        <f>IF(U6,IF(V2&lt;=1,"", IF(ISNA(C80),"",A80&amp; " - " &amp; C80)),"")</f>
        <v>0</v>
      </c>
      <c r="G80" s="27"/>
      <c r="H80" s="27"/>
      <c r="I80" s="27"/>
      <c r="J80" s="27"/>
      <c r="K80" s="27"/>
      <c r="L80" s="27"/>
      <c r="M80" s="27"/>
      <c r="N80" s="27"/>
      <c r="O80" s="27"/>
      <c r="P80" s="27"/>
    </row>
    <row r="81" spans="1:16" ht="48" customHeight="1">
      <c r="A81">
        <v>0</v>
      </c>
      <c r="B81">
        <v>0</v>
      </c>
      <c r="C81">
        <v>0</v>
      </c>
      <c r="D81">
        <v>0</v>
      </c>
      <c r="F81" s="27">
        <f>IF(U6,IF(V2&lt;=1,"", IF(ISNA(C81),"",A81&amp; " - " &amp; C81)),"")</f>
        <v>0</v>
      </c>
      <c r="G81" s="27"/>
      <c r="H81" s="27"/>
      <c r="I81" s="27"/>
      <c r="J81" s="27"/>
      <c r="K81" s="27"/>
      <c r="L81" s="27"/>
      <c r="M81" s="27"/>
      <c r="N81" s="27"/>
      <c r="O81" s="27"/>
      <c r="P81" s="27"/>
    </row>
    <row r="82" spans="1:16" ht="48" customHeight="1">
      <c r="A82">
        <v>0</v>
      </c>
      <c r="B82">
        <v>0</v>
      </c>
      <c r="C82">
        <v>0</v>
      </c>
      <c r="D82">
        <v>0</v>
      </c>
      <c r="F82" s="27">
        <f>IF(U6,IF(V2&lt;=1,"", IF(ISNA(C82),"",A82&amp; " - " &amp; C82)),"")</f>
        <v>0</v>
      </c>
      <c r="G82" s="27"/>
      <c r="H82" s="27"/>
      <c r="I82" s="27"/>
      <c r="J82" s="27"/>
      <c r="K82" s="27"/>
      <c r="L82" s="27"/>
      <c r="M82" s="27"/>
      <c r="N82" s="27"/>
      <c r="O82" s="27"/>
      <c r="P82" s="27"/>
    </row>
    <row r="83" spans="1:16" ht="48" customHeight="1">
      <c r="A83">
        <v>0</v>
      </c>
      <c r="B83">
        <v>0</v>
      </c>
      <c r="C83">
        <v>0</v>
      </c>
      <c r="D83">
        <v>0</v>
      </c>
      <c r="F83" s="27">
        <f>IF(U6,IF(V2&lt;=1,"", IF(ISNA(C83),"",A83&amp; " - " &amp; C83)),"")</f>
        <v>0</v>
      </c>
      <c r="G83" s="27"/>
      <c r="H83" s="27"/>
      <c r="I83" s="27"/>
      <c r="J83" s="27"/>
      <c r="K83" s="27"/>
      <c r="L83" s="27"/>
      <c r="M83" s="27"/>
      <c r="N83" s="27"/>
      <c r="O83" s="27"/>
      <c r="P83" s="27"/>
    </row>
    <row r="84" spans="1:16" ht="48" customHeight="1">
      <c r="A84">
        <v>0</v>
      </c>
      <c r="B84">
        <v>0</v>
      </c>
      <c r="C84">
        <v>0</v>
      </c>
      <c r="D84">
        <v>0</v>
      </c>
      <c r="F84" s="27">
        <f>IF(U6,IF(V2&lt;=1,"", IF(ISNA(C84),"",A84&amp; " - " &amp; C84)),"")</f>
        <v>0</v>
      </c>
      <c r="G84" s="27"/>
      <c r="H84" s="27"/>
      <c r="I84" s="27"/>
      <c r="J84" s="27"/>
      <c r="K84" s="27"/>
      <c r="L84" s="27"/>
      <c r="M84" s="27"/>
      <c r="N84" s="27"/>
      <c r="O84" s="27"/>
      <c r="P84" s="27"/>
    </row>
    <row r="85" spans="1:16" ht="48" customHeight="1">
      <c r="A85">
        <v>0</v>
      </c>
      <c r="B85">
        <v>0</v>
      </c>
      <c r="C85">
        <v>0</v>
      </c>
      <c r="D85">
        <v>0</v>
      </c>
      <c r="F85" s="27">
        <f>IF(U6,IF(V2&lt;=1,"", IF(ISNA(C85),"",A85&amp; " - " &amp; C85)),"")</f>
        <v>0</v>
      </c>
      <c r="G85" s="27"/>
      <c r="H85" s="27"/>
      <c r="I85" s="27"/>
      <c r="J85" s="27"/>
      <c r="K85" s="27"/>
      <c r="L85" s="27"/>
      <c r="M85" s="27"/>
      <c r="N85" s="27"/>
      <c r="O85" s="27"/>
      <c r="P85" s="27"/>
    </row>
    <row r="86" spans="1:16" ht="48" customHeight="1">
      <c r="A86">
        <v>0</v>
      </c>
      <c r="B86">
        <v>0</v>
      </c>
      <c r="C86">
        <v>0</v>
      </c>
      <c r="D86">
        <v>0</v>
      </c>
      <c r="F86" s="27">
        <f>IF(U6,IF(V2&lt;=1,"", IF(ISNA(C86),"",A86&amp; " - " &amp; C86)),"")</f>
        <v>0</v>
      </c>
      <c r="G86" s="27"/>
      <c r="H86" s="27"/>
      <c r="I86" s="27"/>
      <c r="J86" s="27"/>
      <c r="K86" s="27"/>
      <c r="L86" s="27"/>
      <c r="M86" s="27"/>
      <c r="N86" s="27"/>
      <c r="O86" s="27"/>
      <c r="P86" s="27"/>
    </row>
    <row r="87" spans="1:16" ht="48" customHeight="1">
      <c r="A87">
        <v>0</v>
      </c>
      <c r="B87">
        <v>0</v>
      </c>
      <c r="C87">
        <v>0</v>
      </c>
      <c r="D87">
        <v>0</v>
      </c>
      <c r="F87" s="27">
        <f>IF(U6,IF(V2&lt;=1,"", IF(ISNA(C87),"",A87&amp; " - " &amp; C87)),"")</f>
        <v>0</v>
      </c>
      <c r="G87" s="27"/>
      <c r="H87" s="27"/>
      <c r="I87" s="27"/>
      <c r="J87" s="27"/>
      <c r="K87" s="27"/>
      <c r="L87" s="27"/>
      <c r="M87" s="27"/>
      <c r="N87" s="27"/>
      <c r="O87" s="27"/>
      <c r="P87" s="27"/>
    </row>
    <row r="88" spans="1:16" ht="48" customHeight="1">
      <c r="A88">
        <v>0</v>
      </c>
      <c r="B88">
        <v>0</v>
      </c>
      <c r="C88">
        <v>0</v>
      </c>
      <c r="D88">
        <v>0</v>
      </c>
      <c r="F88" s="27">
        <f>IF(U6,IF(V2&lt;=1,"", IF(ISNA(C88),"",A88&amp; " - " &amp; C88)),"")</f>
        <v>0</v>
      </c>
      <c r="G88" s="27"/>
      <c r="H88" s="27"/>
      <c r="I88" s="27"/>
      <c r="J88" s="27"/>
      <c r="K88" s="27"/>
      <c r="L88" s="27"/>
      <c r="M88" s="27"/>
      <c r="N88" s="27"/>
      <c r="O88" s="27"/>
      <c r="P88" s="27"/>
    </row>
    <row r="89" spans="1:16" ht="48" customHeight="1">
      <c r="A89">
        <v>0</v>
      </c>
      <c r="B89">
        <v>0</v>
      </c>
      <c r="C89">
        <v>0</v>
      </c>
      <c r="D89">
        <v>0</v>
      </c>
      <c r="F89" s="27">
        <f>IF(U6,IF(V2&lt;=1,"", IF(ISNA(C89),"",A89&amp; " - " &amp; C89)),"")</f>
        <v>0</v>
      </c>
      <c r="G89" s="27"/>
      <c r="H89" s="27"/>
      <c r="I89" s="27"/>
      <c r="J89" s="27"/>
      <c r="K89" s="27"/>
      <c r="L89" s="27"/>
      <c r="M89" s="27"/>
      <c r="N89" s="27"/>
      <c r="O89" s="27"/>
      <c r="P89" s="27"/>
    </row>
    <row r="90" spans="1:16" ht="48" customHeight="1">
      <c r="A90">
        <v>0</v>
      </c>
      <c r="B90">
        <v>0</v>
      </c>
      <c r="C90">
        <v>0</v>
      </c>
      <c r="D90">
        <v>0</v>
      </c>
      <c r="F90" s="27">
        <f>IF(U6,IF(V2&lt;=1,"", IF(ISNA(C90),"",A90&amp; " - " &amp; C90)),"")</f>
        <v>0</v>
      </c>
      <c r="G90" s="27"/>
      <c r="H90" s="27"/>
      <c r="I90" s="27"/>
      <c r="J90" s="27"/>
      <c r="K90" s="27"/>
      <c r="L90" s="27"/>
      <c r="M90" s="27"/>
      <c r="N90" s="27"/>
      <c r="O90" s="27"/>
      <c r="P90" s="27"/>
    </row>
    <row r="91" spans="1:16" ht="48" customHeight="1">
      <c r="A91">
        <v>0</v>
      </c>
      <c r="B91">
        <v>0</v>
      </c>
      <c r="C91">
        <v>0</v>
      </c>
      <c r="D91">
        <v>0</v>
      </c>
      <c r="F91" s="27">
        <f>IF(U6,IF(V2&lt;=1,"", IF(ISNA(C91),"",A91&amp; " - " &amp; C91)),"")</f>
        <v>0</v>
      </c>
      <c r="G91" s="27"/>
      <c r="H91" s="27"/>
      <c r="I91" s="27"/>
      <c r="J91" s="27"/>
      <c r="K91" s="27"/>
      <c r="L91" s="27"/>
      <c r="M91" s="27"/>
      <c r="N91" s="27"/>
      <c r="O91" s="27"/>
      <c r="P91" s="27"/>
    </row>
    <row r="92" spans="1:16" ht="48" customHeight="1">
      <c r="A92">
        <v>0</v>
      </c>
      <c r="B92">
        <v>0</v>
      </c>
      <c r="C92">
        <v>0</v>
      </c>
      <c r="D92">
        <v>0</v>
      </c>
      <c r="F92" s="27">
        <f>IF(U6,IF(V2&lt;=1,"", IF(ISNA(C92),"",A92&amp; " - " &amp; C92)),"")</f>
        <v>0</v>
      </c>
      <c r="G92" s="27"/>
      <c r="H92" s="27"/>
      <c r="I92" s="27"/>
      <c r="J92" s="27"/>
      <c r="K92" s="27"/>
      <c r="L92" s="27"/>
      <c r="M92" s="27"/>
      <c r="N92" s="27"/>
      <c r="O92" s="27"/>
      <c r="P92" s="27"/>
    </row>
    <row r="93" spans="1:16" ht="48" customHeight="1">
      <c r="A93">
        <v>0</v>
      </c>
      <c r="B93">
        <v>0</v>
      </c>
      <c r="C93">
        <v>0</v>
      </c>
      <c r="D93">
        <v>0</v>
      </c>
      <c r="F93" s="27">
        <f>IF(U6,IF(V2&lt;=1,"", IF(ISNA(C93),"",A93&amp; " - " &amp; C93)),"")</f>
        <v>0</v>
      </c>
      <c r="G93" s="27"/>
      <c r="H93" s="27"/>
      <c r="I93" s="27"/>
      <c r="J93" s="27"/>
      <c r="K93" s="27"/>
      <c r="L93" s="27"/>
      <c r="M93" s="27"/>
      <c r="N93" s="27"/>
      <c r="O93" s="27"/>
      <c r="P93" s="27"/>
    </row>
    <row r="94" spans="1:16" ht="48" customHeight="1">
      <c r="A94">
        <v>0</v>
      </c>
      <c r="B94">
        <v>0</v>
      </c>
      <c r="C94">
        <v>0</v>
      </c>
      <c r="D94">
        <v>0</v>
      </c>
      <c r="F94" s="27">
        <f>IF(U6,IF(V2&lt;=1,"", IF(ISNA(C94),"",A94&amp; " - " &amp; C94)),"")</f>
        <v>0</v>
      </c>
      <c r="G94" s="27"/>
      <c r="H94" s="27"/>
      <c r="I94" s="27"/>
      <c r="J94" s="27"/>
      <c r="K94" s="27"/>
      <c r="L94" s="27"/>
      <c r="M94" s="27"/>
      <c r="N94" s="27"/>
      <c r="O94" s="27"/>
      <c r="P94" s="27"/>
    </row>
    <row r="95" spans="1:16" ht="48" customHeight="1">
      <c r="A95">
        <v>0</v>
      </c>
      <c r="B95">
        <v>0</v>
      </c>
      <c r="C95">
        <v>0</v>
      </c>
      <c r="D95">
        <v>0</v>
      </c>
      <c r="F95" s="27">
        <f>IF(U6,IF(V2&lt;=1,"", IF(ISNA(C95),"",A95&amp; " - " &amp; C95)),"")</f>
        <v>0</v>
      </c>
      <c r="G95" s="27"/>
      <c r="H95" s="27"/>
      <c r="I95" s="27"/>
      <c r="J95" s="27"/>
      <c r="K95" s="27"/>
      <c r="L95" s="27"/>
      <c r="M95" s="27"/>
      <c r="N95" s="27"/>
      <c r="O95" s="27"/>
      <c r="P95" s="27"/>
    </row>
    <row r="96" spans="1:16" ht="48" customHeight="1">
      <c r="A96">
        <v>0</v>
      </c>
      <c r="B96">
        <v>0</v>
      </c>
      <c r="C96">
        <v>0</v>
      </c>
      <c r="D96">
        <v>0</v>
      </c>
      <c r="F96" s="27">
        <f>IF(U6,IF(V2&lt;=1,"", IF(ISNA(C96),"",A96&amp; " - " &amp; C96)),"")</f>
        <v>0</v>
      </c>
      <c r="G96" s="27"/>
      <c r="H96" s="27"/>
      <c r="I96" s="27"/>
      <c r="J96" s="27"/>
      <c r="K96" s="27"/>
      <c r="L96" s="27"/>
      <c r="M96" s="27"/>
      <c r="N96" s="27"/>
      <c r="O96" s="27"/>
      <c r="P96" s="27"/>
    </row>
    <row r="97" spans="1:16" ht="48" customHeight="1">
      <c r="A97">
        <v>0</v>
      </c>
      <c r="B97">
        <v>0</v>
      </c>
      <c r="C97">
        <v>0</v>
      </c>
      <c r="D97">
        <v>0</v>
      </c>
      <c r="F97" s="27">
        <f>IF(U6,IF(V2&lt;=1,"", IF(ISNA(C97),"",A97&amp; " - " &amp; C97)),"")</f>
        <v>0</v>
      </c>
      <c r="G97" s="27"/>
      <c r="H97" s="27"/>
      <c r="I97" s="27"/>
      <c r="J97" s="27"/>
      <c r="K97" s="27"/>
      <c r="L97" s="27"/>
      <c r="M97" s="27"/>
      <c r="N97" s="27"/>
      <c r="O97" s="27"/>
      <c r="P97" s="27"/>
    </row>
    <row r="98" spans="1:16" ht="48" customHeight="1">
      <c r="A98">
        <v>0</v>
      </c>
      <c r="B98">
        <v>0</v>
      </c>
      <c r="C98">
        <v>0</v>
      </c>
      <c r="D98">
        <v>0</v>
      </c>
      <c r="F98" s="27">
        <f>IF(U6,IF(V2&lt;=1,"", IF(ISNA(C98),"",A98&amp; " - " &amp; C98)),"")</f>
        <v>0</v>
      </c>
      <c r="G98" s="27"/>
      <c r="H98" s="27"/>
      <c r="I98" s="27"/>
      <c r="J98" s="27"/>
      <c r="K98" s="27"/>
      <c r="L98" s="27"/>
      <c r="M98" s="27"/>
      <c r="N98" s="27"/>
      <c r="O98" s="27"/>
      <c r="P98" s="27"/>
    </row>
    <row r="99" spans="1:16" ht="48" customHeight="1">
      <c r="A99">
        <v>0</v>
      </c>
      <c r="B99">
        <v>0</v>
      </c>
      <c r="C99">
        <v>0</v>
      </c>
      <c r="D99">
        <v>0</v>
      </c>
      <c r="F99" s="27">
        <f>IF(U6,IF(V2&lt;=1,"", IF(ISNA(C99),"",A99&amp; " - " &amp; C99)),"")</f>
        <v>0</v>
      </c>
      <c r="G99" s="27"/>
      <c r="H99" s="27"/>
      <c r="I99" s="27"/>
      <c r="J99" s="27"/>
      <c r="K99" s="27"/>
      <c r="L99" s="27"/>
      <c r="M99" s="27"/>
      <c r="N99" s="27"/>
      <c r="O99" s="27"/>
      <c r="P99" s="27"/>
    </row>
    <row r="100" spans="1:16" ht="48" customHeight="1">
      <c r="A100">
        <v>0</v>
      </c>
      <c r="B100">
        <v>0</v>
      </c>
      <c r="C100">
        <v>0</v>
      </c>
      <c r="D100">
        <v>0</v>
      </c>
      <c r="F100" s="27">
        <f>IF(U6,IF(V2&lt;=1,"", IF(ISNA(C100),"",A100&amp; " - " &amp; C100)),"")</f>
        <v>0</v>
      </c>
      <c r="G100" s="27"/>
      <c r="H100" s="27"/>
      <c r="I100" s="27"/>
      <c r="J100" s="27"/>
      <c r="K100" s="27"/>
      <c r="L100" s="27"/>
      <c r="M100" s="27"/>
      <c r="N100" s="27"/>
      <c r="O100" s="27"/>
      <c r="P100" s="27"/>
    </row>
    <row r="101" spans="1:16" ht="48" customHeight="1">
      <c r="A101">
        <v>0</v>
      </c>
      <c r="B101">
        <v>0</v>
      </c>
      <c r="C101">
        <v>0</v>
      </c>
      <c r="D101">
        <v>0</v>
      </c>
      <c r="F101" s="27">
        <f>IF(U6,IF(V2&lt;=1,"", IF(ISNA(C101),"",A101&amp; " - " &amp; C101)),"")</f>
        <v>0</v>
      </c>
      <c r="G101" s="27"/>
      <c r="H101" s="27"/>
      <c r="I101" s="27"/>
      <c r="J101" s="27"/>
      <c r="K101" s="27"/>
      <c r="L101" s="27"/>
      <c r="M101" s="27"/>
      <c r="N101" s="27"/>
      <c r="O101" s="27"/>
      <c r="P101" s="27"/>
    </row>
    <row r="102" spans="1:16" ht="48" customHeight="1">
      <c r="A102">
        <v>0</v>
      </c>
      <c r="B102">
        <v>0</v>
      </c>
      <c r="C102">
        <v>0</v>
      </c>
      <c r="D102">
        <v>0</v>
      </c>
      <c r="F102" s="27">
        <f>IF(U6,IF(V2&lt;=1,"", IF(ISNA(C102),"",A102&amp; " - " &amp; C102)),"")</f>
        <v>0</v>
      </c>
      <c r="G102" s="27"/>
      <c r="H102" s="27"/>
      <c r="I102" s="27"/>
      <c r="J102" s="27"/>
      <c r="K102" s="27"/>
      <c r="L102" s="27"/>
      <c r="M102" s="27"/>
      <c r="N102" s="27"/>
      <c r="O102" s="27"/>
      <c r="P102" s="27"/>
    </row>
    <row r="103" spans="1:16" ht="48" customHeight="1">
      <c r="A103">
        <v>0</v>
      </c>
      <c r="B103">
        <v>0</v>
      </c>
      <c r="C103">
        <v>0</v>
      </c>
      <c r="D103">
        <v>0</v>
      </c>
      <c r="F103" s="27">
        <f>IF(U6,IF(V2&lt;=1,"", IF(ISNA(C103),"",A103&amp; " - " &amp; C103)),"")</f>
        <v>0</v>
      </c>
      <c r="G103" s="27"/>
      <c r="H103" s="27"/>
      <c r="I103" s="27"/>
      <c r="J103" s="27"/>
      <c r="K103" s="27"/>
      <c r="L103" s="27"/>
      <c r="M103" s="27"/>
      <c r="N103" s="27"/>
      <c r="O103" s="27"/>
      <c r="P103" s="27"/>
    </row>
    <row r="104" spans="1:16" ht="48" customHeight="1">
      <c r="A104">
        <v>0</v>
      </c>
      <c r="B104">
        <v>0</v>
      </c>
      <c r="C104">
        <v>0</v>
      </c>
      <c r="D104">
        <v>0</v>
      </c>
      <c r="F104" s="27">
        <f>IF(U6,IF(V2&lt;=1,"", IF(ISNA(C104),"",A104&amp; " - " &amp; C104)),"")</f>
        <v>0</v>
      </c>
      <c r="G104" s="27"/>
      <c r="H104" s="27"/>
      <c r="I104" s="27"/>
      <c r="J104" s="27"/>
      <c r="K104" s="27"/>
      <c r="L104" s="27"/>
      <c r="M104" s="27"/>
      <c r="N104" s="27"/>
      <c r="O104" s="27"/>
      <c r="P104" s="27"/>
    </row>
    <row r="105" spans="1:16" ht="48" customHeight="1">
      <c r="A105">
        <v>0</v>
      </c>
      <c r="B105">
        <v>0</v>
      </c>
      <c r="C105">
        <v>0</v>
      </c>
      <c r="D105">
        <v>0</v>
      </c>
      <c r="F105" s="27">
        <f>IF(U6,IF(V2&lt;=1,"", IF(ISNA(C105),"",A105&amp; " - " &amp; C105)),"")</f>
        <v>0</v>
      </c>
      <c r="G105" s="27"/>
      <c r="H105" s="27"/>
      <c r="I105" s="27"/>
      <c r="J105" s="27"/>
      <c r="K105" s="27"/>
      <c r="L105" s="27"/>
      <c r="M105" s="27"/>
      <c r="N105" s="27"/>
      <c r="O105" s="27"/>
      <c r="P105" s="27"/>
    </row>
    <row r="106" spans="1:16" ht="48" customHeight="1">
      <c r="A106">
        <v>0</v>
      </c>
      <c r="B106">
        <v>0</v>
      </c>
      <c r="C106">
        <v>0</v>
      </c>
      <c r="D106">
        <v>0</v>
      </c>
      <c r="F106" s="27">
        <f>IF(U6,IF(V2&lt;=1,"", IF(ISNA(C106),"",A106&amp; " - " &amp; C106)),"")</f>
        <v>0</v>
      </c>
      <c r="G106" s="27"/>
      <c r="H106" s="27"/>
      <c r="I106" s="27"/>
      <c r="J106" s="27"/>
      <c r="K106" s="27"/>
      <c r="L106" s="27"/>
      <c r="M106" s="27"/>
      <c r="N106" s="27"/>
      <c r="O106" s="27"/>
      <c r="P106" s="27"/>
    </row>
    <row r="107" spans="1:16" ht="48" customHeight="1">
      <c r="A107">
        <v>0</v>
      </c>
      <c r="B107">
        <v>0</v>
      </c>
      <c r="C107">
        <v>0</v>
      </c>
      <c r="D107">
        <v>0</v>
      </c>
      <c r="F107" s="27">
        <f>IF(U6,IF(V2&lt;=1,"", IF(ISNA(C107),"",A107&amp; " - " &amp; C107)),"")</f>
        <v>0</v>
      </c>
      <c r="G107" s="27"/>
      <c r="H107" s="27"/>
      <c r="I107" s="27"/>
      <c r="J107" s="27"/>
      <c r="K107" s="27"/>
      <c r="L107" s="27"/>
      <c r="M107" s="27"/>
      <c r="N107" s="27"/>
      <c r="O107" s="27"/>
      <c r="P107" s="27"/>
    </row>
    <row r="108" spans="1:16" ht="48" customHeight="1">
      <c r="A108">
        <v>0</v>
      </c>
      <c r="B108">
        <v>0</v>
      </c>
      <c r="C108">
        <v>0</v>
      </c>
      <c r="D108">
        <v>0</v>
      </c>
      <c r="F108" s="27">
        <f>IF(U6,IF(V2&lt;=1,"", IF(ISNA(C108),"",A108&amp; " - " &amp; C108)),"")</f>
        <v>0</v>
      </c>
      <c r="G108" s="27"/>
      <c r="H108" s="27"/>
      <c r="I108" s="27"/>
      <c r="J108" s="27"/>
      <c r="K108" s="27"/>
      <c r="L108" s="27"/>
      <c r="M108" s="27"/>
      <c r="N108" s="27"/>
      <c r="O108" s="27"/>
      <c r="P108" s="27"/>
    </row>
    <row r="109" spans="1:16" ht="48" customHeight="1">
      <c r="A109">
        <v>0</v>
      </c>
      <c r="B109">
        <v>0</v>
      </c>
      <c r="C109">
        <v>0</v>
      </c>
      <c r="D109">
        <v>0</v>
      </c>
      <c r="F109" s="27">
        <f>IF(U6,IF(V2&lt;=1,"", IF(ISNA(C109),"",A109&amp; " - " &amp; C109)),"")</f>
        <v>0</v>
      </c>
      <c r="G109" s="27"/>
      <c r="H109" s="27"/>
      <c r="I109" s="27"/>
      <c r="J109" s="27"/>
      <c r="K109" s="27"/>
      <c r="L109" s="27"/>
      <c r="M109" s="27"/>
      <c r="N109" s="27"/>
      <c r="O109" s="27"/>
      <c r="P109" s="27"/>
    </row>
    <row r="110" spans="1:16" ht="48" customHeight="1">
      <c r="A110">
        <v>0</v>
      </c>
      <c r="B110">
        <v>0</v>
      </c>
      <c r="C110">
        <v>0</v>
      </c>
      <c r="D110">
        <v>0</v>
      </c>
      <c r="F110" s="27">
        <f>IF(U6,IF(V2&lt;=1,"", IF(ISNA(C110),"",A110&amp; " - " &amp; C110)),"")</f>
        <v>0</v>
      </c>
      <c r="G110" s="27"/>
      <c r="H110" s="27"/>
      <c r="I110" s="27"/>
      <c r="J110" s="27"/>
      <c r="K110" s="27"/>
      <c r="L110" s="27"/>
      <c r="M110" s="27"/>
      <c r="N110" s="27"/>
      <c r="O110" s="27"/>
      <c r="P110" s="27"/>
    </row>
    <row r="111" spans="1:16" ht="48" customHeight="1">
      <c r="A111">
        <v>0</v>
      </c>
      <c r="B111">
        <v>0</v>
      </c>
      <c r="C111">
        <v>0</v>
      </c>
      <c r="D111">
        <v>0</v>
      </c>
      <c r="F111" s="27">
        <f>IF(U6,IF(V2&lt;=1,"", IF(ISNA(C111),"",A111&amp; " - " &amp; C111)),"")</f>
        <v>0</v>
      </c>
      <c r="G111" s="27"/>
      <c r="H111" s="27"/>
      <c r="I111" s="27"/>
      <c r="J111" s="27"/>
      <c r="K111" s="27"/>
      <c r="L111" s="27"/>
      <c r="M111" s="27"/>
      <c r="N111" s="27"/>
      <c r="O111" s="27"/>
      <c r="P111" s="27"/>
    </row>
    <row r="112" spans="1:16" ht="48" customHeight="1">
      <c r="A112">
        <v>0</v>
      </c>
      <c r="B112">
        <v>0</v>
      </c>
      <c r="C112">
        <v>0</v>
      </c>
      <c r="D112">
        <v>0</v>
      </c>
      <c r="F112" s="27">
        <f>IF(U6,IF(V2&lt;=1,"", IF(ISNA(C112),"",A112&amp; " - " &amp; C112)),"")</f>
        <v>0</v>
      </c>
      <c r="G112" s="27"/>
      <c r="H112" s="27"/>
      <c r="I112" s="27"/>
      <c r="J112" s="27"/>
      <c r="K112" s="27"/>
      <c r="L112" s="27"/>
      <c r="M112" s="27"/>
      <c r="N112" s="27"/>
      <c r="O112" s="27"/>
      <c r="P112" s="27"/>
    </row>
    <row r="113" spans="1:16" ht="48" customHeight="1">
      <c r="A113">
        <v>0</v>
      </c>
      <c r="B113">
        <v>0</v>
      </c>
      <c r="C113">
        <v>0</v>
      </c>
      <c r="D113">
        <v>0</v>
      </c>
      <c r="F113" s="27">
        <f>IF(U6,IF(V2&lt;=1,"", IF(ISNA(C113),"",A113&amp; " - " &amp; C113)),"")</f>
        <v>0</v>
      </c>
      <c r="G113" s="27"/>
      <c r="H113" s="27"/>
      <c r="I113" s="27"/>
      <c r="J113" s="27"/>
      <c r="K113" s="27"/>
      <c r="L113" s="27"/>
      <c r="M113" s="27"/>
      <c r="N113" s="27"/>
      <c r="O113" s="27"/>
      <c r="P113" s="27"/>
    </row>
    <row r="114" spans="1:16" ht="48" customHeight="1">
      <c r="A114">
        <v>0</v>
      </c>
      <c r="B114">
        <v>0</v>
      </c>
      <c r="C114">
        <v>0</v>
      </c>
      <c r="D114">
        <v>0</v>
      </c>
      <c r="F114" s="27">
        <f>IF(U6,IF(V2&lt;=1,"", IF(ISNA(C114),"",A114&amp; " - " &amp; C114)),"")</f>
        <v>0</v>
      </c>
      <c r="G114" s="27"/>
      <c r="H114" s="27"/>
      <c r="I114" s="27"/>
      <c r="J114" s="27"/>
      <c r="K114" s="27"/>
      <c r="L114" s="27"/>
      <c r="M114" s="27"/>
      <c r="N114" s="27"/>
      <c r="O114" s="27"/>
      <c r="P114" s="27"/>
    </row>
    <row r="115" spans="1:16" ht="48" customHeight="1">
      <c r="A115">
        <v>0</v>
      </c>
      <c r="B115">
        <v>0</v>
      </c>
      <c r="C115">
        <v>0</v>
      </c>
      <c r="D115">
        <v>0</v>
      </c>
      <c r="F115" s="27">
        <f>IF(U6,IF(V2&lt;=1,"", IF(ISNA(C115),"",A115&amp; " - " &amp; C115)),"")</f>
        <v>0</v>
      </c>
      <c r="G115" s="27"/>
      <c r="H115" s="27"/>
      <c r="I115" s="27"/>
      <c r="J115" s="27"/>
      <c r="K115" s="27"/>
      <c r="L115" s="27"/>
      <c r="M115" s="27"/>
      <c r="N115" s="27"/>
      <c r="O115" s="27"/>
      <c r="P115" s="27"/>
    </row>
    <row r="116" spans="1:16" ht="48" customHeight="1">
      <c r="A116">
        <v>0</v>
      </c>
      <c r="B116">
        <v>0</v>
      </c>
      <c r="C116">
        <v>0</v>
      </c>
      <c r="D116">
        <v>0</v>
      </c>
      <c r="F116" s="27">
        <f>IF(U6,IF(V2&lt;=1,"", IF(ISNA(C116),"",A116&amp; " - " &amp; C116)),"")</f>
        <v>0</v>
      </c>
      <c r="G116" s="27"/>
      <c r="H116" s="27"/>
      <c r="I116" s="27"/>
      <c r="J116" s="27"/>
      <c r="K116" s="27"/>
      <c r="L116" s="27"/>
      <c r="M116" s="27"/>
      <c r="N116" s="27"/>
      <c r="O116" s="27"/>
      <c r="P116" s="27"/>
    </row>
    <row r="117" spans="1:16" ht="48" customHeight="1">
      <c r="A117">
        <v>0</v>
      </c>
      <c r="B117">
        <v>0</v>
      </c>
      <c r="C117">
        <v>0</v>
      </c>
      <c r="D117">
        <v>0</v>
      </c>
      <c r="F117" s="27">
        <f>IF(U6,IF(V2&lt;=1,"", IF(ISNA(C117),"",A117&amp; " - " &amp; C117)),"")</f>
        <v>0</v>
      </c>
      <c r="G117" s="27"/>
      <c r="H117" s="27"/>
      <c r="I117" s="27"/>
      <c r="J117" s="27"/>
      <c r="K117" s="27"/>
      <c r="L117" s="27"/>
      <c r="M117" s="27"/>
      <c r="N117" s="27"/>
      <c r="O117" s="27"/>
      <c r="P117" s="27"/>
    </row>
    <row r="118" spans="1:16" ht="48" customHeight="1">
      <c r="A118">
        <v>0</v>
      </c>
      <c r="B118">
        <v>0</v>
      </c>
      <c r="C118">
        <v>0</v>
      </c>
      <c r="D118">
        <v>0</v>
      </c>
      <c r="F118" s="27">
        <f>IF(U6,IF(V2&lt;=1,"", IF(ISNA(C118),"",A118&amp; " - " &amp; C118)),"")</f>
        <v>0</v>
      </c>
      <c r="G118" s="27"/>
      <c r="H118" s="27"/>
      <c r="I118" s="27"/>
      <c r="J118" s="27"/>
      <c r="K118" s="27"/>
      <c r="L118" s="27"/>
      <c r="M118" s="27"/>
      <c r="N118" s="27"/>
      <c r="O118" s="27"/>
      <c r="P118" s="27"/>
    </row>
    <row r="119" spans="1:16" ht="48" customHeight="1">
      <c r="A119">
        <v>0</v>
      </c>
      <c r="B119">
        <v>0</v>
      </c>
      <c r="C119">
        <v>0</v>
      </c>
      <c r="D119">
        <v>0</v>
      </c>
      <c r="F119" s="27">
        <f>IF(U6,IF(V2&lt;=1,"", IF(ISNA(C119),"",A119&amp; " - " &amp; C119)),"")</f>
        <v>0</v>
      </c>
      <c r="G119" s="27"/>
      <c r="H119" s="27"/>
      <c r="I119" s="27"/>
      <c r="J119" s="27"/>
      <c r="K119" s="27"/>
      <c r="L119" s="27"/>
      <c r="M119" s="27"/>
      <c r="N119" s="27"/>
      <c r="O119" s="27"/>
      <c r="P119" s="27"/>
    </row>
    <row r="120" spans="1:16" ht="48" customHeight="1">
      <c r="A120">
        <v>0</v>
      </c>
      <c r="B120">
        <v>0</v>
      </c>
      <c r="C120">
        <v>0</v>
      </c>
      <c r="D120">
        <v>0</v>
      </c>
      <c r="F120" s="27">
        <f>IF(U6,IF(V2&lt;=1,"", IF(ISNA(C120),"",A120&amp; " - " &amp; C120)),"")</f>
        <v>0</v>
      </c>
      <c r="G120" s="27"/>
      <c r="H120" s="27"/>
      <c r="I120" s="27"/>
      <c r="J120" s="27"/>
      <c r="K120" s="27"/>
      <c r="L120" s="27"/>
      <c r="M120" s="27"/>
      <c r="N120" s="27"/>
      <c r="O120" s="27"/>
      <c r="P120" s="27"/>
    </row>
    <row r="121" spans="1:16">
      <c r="A121">
        <v>0</v>
      </c>
      <c r="B121">
        <v>0</v>
      </c>
      <c r="C121">
        <v>0</v>
      </c>
      <c r="D121">
        <v>0</v>
      </c>
    </row>
    <row r="122" spans="1:16">
      <c r="A122">
        <v>0</v>
      </c>
      <c r="B122">
        <v>0</v>
      </c>
      <c r="C122">
        <v>0</v>
      </c>
      <c r="D122">
        <v>0</v>
      </c>
    </row>
    <row r="123" spans="1:16">
      <c r="A123">
        <v>0</v>
      </c>
      <c r="B123">
        <v>0</v>
      </c>
      <c r="C123">
        <v>0</v>
      </c>
      <c r="D123">
        <v>0</v>
      </c>
    </row>
    <row r="124" spans="1:16">
      <c r="A124">
        <v>0</v>
      </c>
      <c r="B124">
        <v>0</v>
      </c>
      <c r="C124">
        <v>0</v>
      </c>
      <c r="D124">
        <v>0</v>
      </c>
    </row>
    <row r="125" spans="1:16">
      <c r="A125">
        <v>0</v>
      </c>
      <c r="B125">
        <v>0</v>
      </c>
      <c r="C125">
        <v>0</v>
      </c>
      <c r="D125">
        <v>0</v>
      </c>
    </row>
    <row r="126" spans="1:16">
      <c r="A126">
        <v>0</v>
      </c>
      <c r="B126">
        <v>0</v>
      </c>
      <c r="C126">
        <v>0</v>
      </c>
      <c r="D126">
        <v>0</v>
      </c>
    </row>
    <row r="127" spans="1:16">
      <c r="A127">
        <v>0</v>
      </c>
      <c r="B127">
        <v>0</v>
      </c>
      <c r="C127">
        <v>0</v>
      </c>
      <c r="D127">
        <v>0</v>
      </c>
    </row>
    <row r="128" spans="1:16">
      <c r="A128">
        <v>0</v>
      </c>
      <c r="B128">
        <v>0</v>
      </c>
      <c r="C128">
        <v>0</v>
      </c>
      <c r="D128">
        <v>0</v>
      </c>
    </row>
    <row r="129" spans="1:4">
      <c r="A129">
        <v>0</v>
      </c>
      <c r="B129">
        <v>0</v>
      </c>
      <c r="C129">
        <v>0</v>
      </c>
      <c r="D129">
        <v>0</v>
      </c>
    </row>
    <row r="130" spans="1:4">
      <c r="A130">
        <v>0</v>
      </c>
      <c r="B130">
        <v>0</v>
      </c>
      <c r="C130">
        <v>0</v>
      </c>
      <c r="D130">
        <v>0</v>
      </c>
    </row>
    <row r="131" spans="1:4">
      <c r="A131">
        <v>0</v>
      </c>
      <c r="B131">
        <v>0</v>
      </c>
      <c r="C131">
        <v>0</v>
      </c>
      <c r="D131">
        <v>0</v>
      </c>
    </row>
    <row r="132" spans="1:4">
      <c r="A132">
        <v>0</v>
      </c>
      <c r="B132">
        <v>0</v>
      </c>
      <c r="C132">
        <v>0</v>
      </c>
      <c r="D132">
        <v>0</v>
      </c>
    </row>
    <row r="133" spans="1:4">
      <c r="A133">
        <v>0</v>
      </c>
      <c r="B133">
        <v>0</v>
      </c>
      <c r="C133">
        <v>0</v>
      </c>
      <c r="D133">
        <v>0</v>
      </c>
    </row>
    <row r="134" spans="1:4">
      <c r="A134">
        <v>0</v>
      </c>
      <c r="B134">
        <v>0</v>
      </c>
      <c r="C134">
        <v>0</v>
      </c>
      <c r="D134">
        <v>0</v>
      </c>
    </row>
    <row r="135" spans="1:4">
      <c r="A135">
        <v>0</v>
      </c>
      <c r="B135">
        <v>0</v>
      </c>
      <c r="C135">
        <v>0</v>
      </c>
      <c r="D135">
        <v>0</v>
      </c>
    </row>
    <row r="136" spans="1:4">
      <c r="A136">
        <v>0</v>
      </c>
      <c r="B136">
        <v>0</v>
      </c>
      <c r="C136">
        <v>0</v>
      </c>
      <c r="D136">
        <v>0</v>
      </c>
    </row>
    <row r="137" spans="1:4">
      <c r="A137">
        <v>0</v>
      </c>
      <c r="B137">
        <v>0</v>
      </c>
      <c r="C137">
        <v>0</v>
      </c>
      <c r="D137">
        <v>0</v>
      </c>
    </row>
    <row r="138" spans="1:4">
      <c r="A138">
        <v>0</v>
      </c>
      <c r="B138">
        <v>0</v>
      </c>
      <c r="C138">
        <v>0</v>
      </c>
      <c r="D138">
        <v>0</v>
      </c>
    </row>
    <row r="139" spans="1:4">
      <c r="A139">
        <v>0</v>
      </c>
      <c r="B139">
        <v>0</v>
      </c>
      <c r="C139">
        <v>0</v>
      </c>
      <c r="D139">
        <v>0</v>
      </c>
    </row>
    <row r="140" spans="1:4">
      <c r="A140">
        <v>0</v>
      </c>
      <c r="B140">
        <v>0</v>
      </c>
      <c r="C140">
        <v>0</v>
      </c>
      <c r="D140">
        <v>0</v>
      </c>
    </row>
    <row r="141" spans="1:4">
      <c r="A141">
        <v>0</v>
      </c>
      <c r="B141">
        <v>0</v>
      </c>
      <c r="C141">
        <v>0</v>
      </c>
      <c r="D141">
        <v>0</v>
      </c>
    </row>
    <row r="142" spans="1:4">
      <c r="A142">
        <v>0</v>
      </c>
      <c r="B142">
        <v>0</v>
      </c>
      <c r="C142">
        <v>0</v>
      </c>
      <c r="D142">
        <v>0</v>
      </c>
    </row>
    <row r="143" spans="1:4">
      <c r="A143">
        <v>0</v>
      </c>
      <c r="B143">
        <v>0</v>
      </c>
      <c r="C143">
        <v>0</v>
      </c>
      <c r="D143">
        <v>0</v>
      </c>
    </row>
    <row r="144" spans="1:4">
      <c r="A144">
        <v>0</v>
      </c>
      <c r="B144">
        <v>0</v>
      </c>
      <c r="C144">
        <v>0</v>
      </c>
      <c r="D144">
        <v>0</v>
      </c>
    </row>
    <row r="145" spans="1:4">
      <c r="A145">
        <v>0</v>
      </c>
      <c r="B145">
        <v>0</v>
      </c>
      <c r="C145">
        <v>0</v>
      </c>
      <c r="D145">
        <v>0</v>
      </c>
    </row>
    <row r="146" spans="1:4">
      <c r="A146">
        <v>0</v>
      </c>
      <c r="B146">
        <v>0</v>
      </c>
      <c r="C146">
        <v>0</v>
      </c>
      <c r="D146">
        <v>0</v>
      </c>
    </row>
    <row r="147" spans="1:4">
      <c r="A147">
        <v>0</v>
      </c>
      <c r="B147">
        <v>0</v>
      </c>
      <c r="C147">
        <v>0</v>
      </c>
      <c r="D147">
        <v>0</v>
      </c>
    </row>
    <row r="148" spans="1:4">
      <c r="A148">
        <v>0</v>
      </c>
      <c r="B148">
        <v>0</v>
      </c>
      <c r="C148">
        <v>0</v>
      </c>
      <c r="D148">
        <v>0</v>
      </c>
    </row>
    <row r="149" spans="1:4">
      <c r="A149">
        <v>0</v>
      </c>
      <c r="B149">
        <v>0</v>
      </c>
      <c r="C149">
        <v>0</v>
      </c>
      <c r="D149">
        <v>0</v>
      </c>
    </row>
    <row r="150" spans="1:4">
      <c r="A150">
        <v>0</v>
      </c>
      <c r="B150">
        <v>0</v>
      </c>
      <c r="C150">
        <v>0</v>
      </c>
      <c r="D150">
        <v>0</v>
      </c>
    </row>
    <row r="151" spans="1:4">
      <c r="A151">
        <v>0</v>
      </c>
      <c r="B151">
        <v>0</v>
      </c>
      <c r="C151">
        <v>0</v>
      </c>
      <c r="D151">
        <v>0</v>
      </c>
    </row>
    <row r="152" spans="1:4">
      <c r="A152">
        <v>0</v>
      </c>
      <c r="B152">
        <v>0</v>
      </c>
      <c r="C152">
        <v>0</v>
      </c>
      <c r="D152">
        <v>0</v>
      </c>
    </row>
    <row r="153" spans="1:4">
      <c r="A153">
        <v>0</v>
      </c>
      <c r="B153">
        <v>0</v>
      </c>
      <c r="C153">
        <v>0</v>
      </c>
      <c r="D153">
        <v>0</v>
      </c>
    </row>
    <row r="154" spans="1:4">
      <c r="A154">
        <v>0</v>
      </c>
      <c r="B154">
        <v>0</v>
      </c>
      <c r="C154">
        <v>0</v>
      </c>
      <c r="D154">
        <v>0</v>
      </c>
    </row>
    <row r="155" spans="1:4">
      <c r="A155">
        <v>0</v>
      </c>
      <c r="B155">
        <v>0</v>
      </c>
      <c r="C155">
        <v>0</v>
      </c>
      <c r="D155">
        <v>0</v>
      </c>
    </row>
    <row r="156" spans="1:4">
      <c r="A156">
        <v>0</v>
      </c>
      <c r="B156">
        <v>0</v>
      </c>
      <c r="C156">
        <v>0</v>
      </c>
      <c r="D156">
        <v>0</v>
      </c>
    </row>
    <row r="157" spans="1:4">
      <c r="A157">
        <v>0</v>
      </c>
      <c r="B157">
        <v>0</v>
      </c>
      <c r="C157">
        <v>0</v>
      </c>
      <c r="D157">
        <v>0</v>
      </c>
    </row>
    <row r="158" spans="1:4">
      <c r="A158">
        <v>0</v>
      </c>
      <c r="B158">
        <v>0</v>
      </c>
      <c r="C158">
        <v>0</v>
      </c>
      <c r="D158">
        <v>0</v>
      </c>
    </row>
    <row r="159" spans="1:4">
      <c r="A159">
        <v>0</v>
      </c>
      <c r="B159">
        <v>0</v>
      </c>
      <c r="C159">
        <v>0</v>
      </c>
      <c r="D159">
        <v>0</v>
      </c>
    </row>
    <row r="160" spans="1:4">
      <c r="A160">
        <v>0</v>
      </c>
      <c r="B160">
        <v>0</v>
      </c>
      <c r="C160">
        <v>0</v>
      </c>
      <c r="D160">
        <v>0</v>
      </c>
    </row>
    <row r="161" spans="1:4">
      <c r="A161">
        <v>0</v>
      </c>
      <c r="B161">
        <v>0</v>
      </c>
      <c r="C161">
        <v>0</v>
      </c>
      <c r="D161">
        <v>0</v>
      </c>
    </row>
    <row r="162" spans="1:4">
      <c r="A162">
        <v>0</v>
      </c>
      <c r="B162">
        <v>0</v>
      </c>
      <c r="C162">
        <v>0</v>
      </c>
      <c r="D162">
        <v>0</v>
      </c>
    </row>
    <row r="163" spans="1:4">
      <c r="A163">
        <v>0</v>
      </c>
      <c r="B163">
        <v>0</v>
      </c>
      <c r="C163">
        <v>0</v>
      </c>
      <c r="D163">
        <v>0</v>
      </c>
    </row>
    <row r="164" spans="1:4">
      <c r="A164">
        <v>0</v>
      </c>
      <c r="B164">
        <v>0</v>
      </c>
      <c r="C164">
        <v>0</v>
      </c>
      <c r="D164">
        <v>0</v>
      </c>
    </row>
    <row r="165" spans="1:4">
      <c r="A165">
        <v>0</v>
      </c>
      <c r="B165">
        <v>0</v>
      </c>
      <c r="C165">
        <v>0</v>
      </c>
      <c r="D165">
        <v>0</v>
      </c>
    </row>
    <row r="166" spans="1:4">
      <c r="A166">
        <v>0</v>
      </c>
      <c r="B166">
        <v>0</v>
      </c>
      <c r="C166">
        <v>0</v>
      </c>
      <c r="D166">
        <v>0</v>
      </c>
    </row>
    <row r="167" spans="1:4">
      <c r="A167">
        <v>0</v>
      </c>
      <c r="B167">
        <v>0</v>
      </c>
      <c r="C167">
        <v>0</v>
      </c>
      <c r="D167">
        <v>0</v>
      </c>
    </row>
    <row r="168" spans="1:4">
      <c r="A168">
        <v>0</v>
      </c>
      <c r="B168">
        <v>0</v>
      </c>
      <c r="C168">
        <v>0</v>
      </c>
      <c r="D168">
        <v>0</v>
      </c>
    </row>
    <row r="169" spans="1:4">
      <c r="A169">
        <v>0</v>
      </c>
      <c r="B169">
        <v>0</v>
      </c>
      <c r="C169">
        <v>0</v>
      </c>
      <c r="D169">
        <v>0</v>
      </c>
    </row>
    <row r="170" spans="1:4">
      <c r="A170">
        <v>0</v>
      </c>
      <c r="B170">
        <v>0</v>
      </c>
      <c r="C170">
        <v>0</v>
      </c>
      <c r="D170">
        <v>0</v>
      </c>
    </row>
    <row r="171" spans="1:4">
      <c r="A171">
        <v>0</v>
      </c>
      <c r="B171">
        <v>0</v>
      </c>
      <c r="C171">
        <v>0</v>
      </c>
      <c r="D171">
        <v>0</v>
      </c>
    </row>
    <row r="172" spans="1:4">
      <c r="A172">
        <v>0</v>
      </c>
      <c r="B172">
        <v>0</v>
      </c>
      <c r="C172">
        <v>0</v>
      </c>
      <c r="D172">
        <v>0</v>
      </c>
    </row>
    <row r="173" spans="1:4">
      <c r="A173">
        <v>0</v>
      </c>
      <c r="B173">
        <v>0</v>
      </c>
      <c r="C173">
        <v>0</v>
      </c>
      <c r="D173">
        <v>0</v>
      </c>
    </row>
    <row r="174" spans="1:4">
      <c r="A174">
        <v>0</v>
      </c>
      <c r="B174">
        <v>0</v>
      </c>
      <c r="C174">
        <v>0</v>
      </c>
      <c r="D174">
        <v>0</v>
      </c>
    </row>
    <row r="175" spans="1:4">
      <c r="A175">
        <v>0</v>
      </c>
      <c r="B175">
        <v>0</v>
      </c>
      <c r="C175">
        <v>0</v>
      </c>
      <c r="D175">
        <v>0</v>
      </c>
    </row>
    <row r="176" spans="1:4">
      <c r="A176">
        <v>0</v>
      </c>
      <c r="B176">
        <v>0</v>
      </c>
      <c r="C176">
        <v>0</v>
      </c>
      <c r="D176">
        <v>0</v>
      </c>
    </row>
    <row r="177" spans="1:4">
      <c r="A177">
        <v>0</v>
      </c>
      <c r="B177">
        <v>0</v>
      </c>
      <c r="C177">
        <v>0</v>
      </c>
      <c r="D177">
        <v>0</v>
      </c>
    </row>
    <row r="178" spans="1:4">
      <c r="A178">
        <v>0</v>
      </c>
      <c r="B178">
        <v>0</v>
      </c>
      <c r="C178">
        <v>0</v>
      </c>
      <c r="D178">
        <v>0</v>
      </c>
    </row>
    <row r="179" spans="1:4">
      <c r="A179">
        <v>0</v>
      </c>
      <c r="B179">
        <v>0</v>
      </c>
      <c r="C179">
        <v>0</v>
      </c>
      <c r="D179">
        <v>0</v>
      </c>
    </row>
    <row r="180" spans="1:4">
      <c r="A180">
        <v>0</v>
      </c>
      <c r="B180">
        <v>0</v>
      </c>
      <c r="C180">
        <v>0</v>
      </c>
      <c r="D180">
        <v>0</v>
      </c>
    </row>
    <row r="181" spans="1:4">
      <c r="A181">
        <v>0</v>
      </c>
      <c r="B181">
        <v>0</v>
      </c>
      <c r="C181">
        <v>0</v>
      </c>
      <c r="D181">
        <v>0</v>
      </c>
    </row>
    <row r="182" spans="1:4">
      <c r="A182">
        <v>0</v>
      </c>
      <c r="B182">
        <v>0</v>
      </c>
      <c r="C182">
        <v>0</v>
      </c>
      <c r="D182">
        <v>0</v>
      </c>
    </row>
    <row r="183" spans="1:4">
      <c r="A183">
        <v>0</v>
      </c>
      <c r="B183">
        <v>0</v>
      </c>
      <c r="C183">
        <v>0</v>
      </c>
      <c r="D183">
        <v>0</v>
      </c>
    </row>
    <row r="184" spans="1:4">
      <c r="A184">
        <v>0</v>
      </c>
      <c r="B184">
        <v>0</v>
      </c>
      <c r="C184">
        <v>0</v>
      </c>
      <c r="D184">
        <v>0</v>
      </c>
    </row>
    <row r="185" spans="1:4">
      <c r="A185">
        <v>0</v>
      </c>
      <c r="B185">
        <v>0</v>
      </c>
      <c r="C185">
        <v>0</v>
      </c>
      <c r="D185">
        <v>0</v>
      </c>
    </row>
    <row r="186" spans="1:4">
      <c r="A186">
        <v>0</v>
      </c>
      <c r="B186">
        <v>0</v>
      </c>
      <c r="C186">
        <v>0</v>
      </c>
      <c r="D186">
        <v>0</v>
      </c>
    </row>
    <row r="187" spans="1:4">
      <c r="A187">
        <v>0</v>
      </c>
      <c r="B187">
        <v>0</v>
      </c>
      <c r="C187">
        <v>0</v>
      </c>
      <c r="D187">
        <v>0</v>
      </c>
    </row>
    <row r="188" spans="1:4">
      <c r="A188">
        <v>0</v>
      </c>
      <c r="B188">
        <v>0</v>
      </c>
      <c r="C188">
        <v>0</v>
      </c>
      <c r="D188">
        <v>0</v>
      </c>
    </row>
    <row r="189" spans="1:4">
      <c r="A189">
        <v>0</v>
      </c>
      <c r="B189">
        <v>0</v>
      </c>
      <c r="C189">
        <v>0</v>
      </c>
      <c r="D189">
        <v>0</v>
      </c>
    </row>
    <row r="190" spans="1:4">
      <c r="A190">
        <v>0</v>
      </c>
      <c r="B190">
        <v>0</v>
      </c>
      <c r="C190">
        <v>0</v>
      </c>
      <c r="D190">
        <v>0</v>
      </c>
    </row>
    <row r="191" spans="1:4">
      <c r="A191">
        <v>0</v>
      </c>
      <c r="B191">
        <v>0</v>
      </c>
      <c r="C191">
        <v>0</v>
      </c>
      <c r="D191">
        <v>0</v>
      </c>
    </row>
    <row r="192" spans="1:4">
      <c r="A192">
        <v>0</v>
      </c>
      <c r="B192">
        <v>0</v>
      </c>
      <c r="C192">
        <v>0</v>
      </c>
      <c r="D192">
        <v>0</v>
      </c>
    </row>
    <row r="193" spans="1:4">
      <c r="A193">
        <v>0</v>
      </c>
      <c r="B193">
        <v>0</v>
      </c>
      <c r="C193">
        <v>0</v>
      </c>
      <c r="D193">
        <v>0</v>
      </c>
    </row>
    <row r="194" spans="1:4">
      <c r="A194">
        <v>0</v>
      </c>
      <c r="B194">
        <v>0</v>
      </c>
      <c r="C194">
        <v>0</v>
      </c>
      <c r="D194">
        <v>0</v>
      </c>
    </row>
    <row r="195" spans="1:4">
      <c r="A195">
        <v>0</v>
      </c>
      <c r="B195">
        <v>0</v>
      </c>
      <c r="C195">
        <v>0</v>
      </c>
      <c r="D195">
        <v>0</v>
      </c>
    </row>
    <row r="196" spans="1:4">
      <c r="A196">
        <v>0</v>
      </c>
      <c r="B196">
        <v>0</v>
      </c>
      <c r="C196">
        <v>0</v>
      </c>
      <c r="D196">
        <v>0</v>
      </c>
    </row>
    <row r="197" spans="1:4">
      <c r="A197">
        <v>0</v>
      </c>
      <c r="B197">
        <v>0</v>
      </c>
      <c r="C197">
        <v>0</v>
      </c>
      <c r="D197">
        <v>0</v>
      </c>
    </row>
    <row r="198" spans="1:4">
      <c r="A198">
        <v>0</v>
      </c>
      <c r="B198">
        <v>0</v>
      </c>
      <c r="C198">
        <v>0</v>
      </c>
      <c r="D198">
        <v>0</v>
      </c>
    </row>
    <row r="199" spans="1:4">
      <c r="A199">
        <v>0</v>
      </c>
      <c r="B199">
        <v>0</v>
      </c>
      <c r="C199">
        <v>0</v>
      </c>
      <c r="D199">
        <v>0</v>
      </c>
    </row>
    <row r="200" spans="1:4">
      <c r="A200">
        <v>0</v>
      </c>
      <c r="B200">
        <v>0</v>
      </c>
      <c r="C200">
        <v>0</v>
      </c>
      <c r="D200">
        <v>0</v>
      </c>
    </row>
    <row r="201" spans="1:4">
      <c r="A201">
        <v>0</v>
      </c>
      <c r="B201">
        <v>0</v>
      </c>
      <c r="C201">
        <v>0</v>
      </c>
      <c r="D201">
        <v>0</v>
      </c>
    </row>
    <row r="202" spans="1:4">
      <c r="A202">
        <v>0</v>
      </c>
      <c r="B202">
        <v>0</v>
      </c>
      <c r="C202">
        <v>0</v>
      </c>
      <c r="D202">
        <v>0</v>
      </c>
    </row>
    <row r="203" spans="1:4">
      <c r="A203">
        <v>0</v>
      </c>
      <c r="B203">
        <v>0</v>
      </c>
      <c r="C203">
        <v>0</v>
      </c>
      <c r="D203">
        <v>0</v>
      </c>
    </row>
    <row r="204" spans="1:4">
      <c r="A204">
        <v>0</v>
      </c>
      <c r="B204">
        <v>0</v>
      </c>
      <c r="C204">
        <v>0</v>
      </c>
      <c r="D204">
        <v>0</v>
      </c>
    </row>
    <row r="205" spans="1:4">
      <c r="A205">
        <v>0</v>
      </c>
      <c r="B205">
        <v>0</v>
      </c>
      <c r="C205">
        <v>0</v>
      </c>
      <c r="D205">
        <v>0</v>
      </c>
    </row>
    <row r="206" spans="1:4">
      <c r="A206">
        <v>0</v>
      </c>
      <c r="B206">
        <v>0</v>
      </c>
      <c r="C206">
        <v>0</v>
      </c>
      <c r="D206">
        <v>0</v>
      </c>
    </row>
    <row r="207" spans="1:4">
      <c r="A207">
        <v>0</v>
      </c>
      <c r="B207">
        <v>0</v>
      </c>
      <c r="C207">
        <v>0</v>
      </c>
      <c r="D207">
        <v>0</v>
      </c>
    </row>
    <row r="208" spans="1:4">
      <c r="A208">
        <v>0</v>
      </c>
      <c r="B208">
        <v>0</v>
      </c>
      <c r="C208">
        <v>0</v>
      </c>
      <c r="D208">
        <v>0</v>
      </c>
    </row>
    <row r="209" spans="1:4">
      <c r="A209">
        <v>0</v>
      </c>
      <c r="B209">
        <v>0</v>
      </c>
      <c r="C209">
        <v>0</v>
      </c>
      <c r="D209">
        <v>0</v>
      </c>
    </row>
    <row r="210" spans="1:4">
      <c r="A210">
        <v>0</v>
      </c>
      <c r="B210">
        <v>0</v>
      </c>
      <c r="C210">
        <v>0</v>
      </c>
      <c r="D210">
        <v>0</v>
      </c>
    </row>
    <row r="211" spans="1:4">
      <c r="A211">
        <v>0</v>
      </c>
      <c r="B211">
        <v>0</v>
      </c>
      <c r="C211">
        <v>0</v>
      </c>
      <c r="D211">
        <v>0</v>
      </c>
    </row>
    <row r="212" spans="1:4">
      <c r="A212">
        <v>0</v>
      </c>
      <c r="B212">
        <v>0</v>
      </c>
      <c r="C212">
        <v>0</v>
      </c>
      <c r="D212">
        <v>0</v>
      </c>
    </row>
    <row r="213" spans="1:4">
      <c r="A213">
        <v>0</v>
      </c>
      <c r="B213">
        <v>0</v>
      </c>
      <c r="C213">
        <v>0</v>
      </c>
      <c r="D213">
        <v>0</v>
      </c>
    </row>
    <row r="214" spans="1:4">
      <c r="A214">
        <v>0</v>
      </c>
      <c r="B214">
        <v>0</v>
      </c>
      <c r="C214">
        <v>0</v>
      </c>
      <c r="D214">
        <v>0</v>
      </c>
    </row>
    <row r="215" spans="1:4">
      <c r="A215">
        <v>0</v>
      </c>
      <c r="B215">
        <v>0</v>
      </c>
      <c r="C215">
        <v>0</v>
      </c>
      <c r="D215">
        <v>0</v>
      </c>
    </row>
    <row r="216" spans="1:4">
      <c r="A216">
        <v>0</v>
      </c>
      <c r="B216">
        <v>0</v>
      </c>
      <c r="C216">
        <v>0</v>
      </c>
      <c r="D216">
        <v>0</v>
      </c>
    </row>
    <row r="217" spans="1:4">
      <c r="A217">
        <v>0</v>
      </c>
      <c r="B217">
        <v>0</v>
      </c>
      <c r="C217">
        <v>0</v>
      </c>
      <c r="D217">
        <v>0</v>
      </c>
    </row>
    <row r="218" spans="1:4">
      <c r="A218">
        <v>0</v>
      </c>
      <c r="B218">
        <v>0</v>
      </c>
      <c r="C218">
        <v>0</v>
      </c>
      <c r="D218">
        <v>0</v>
      </c>
    </row>
    <row r="219" spans="1:4">
      <c r="A219">
        <v>0</v>
      </c>
      <c r="B219">
        <v>0</v>
      </c>
      <c r="C219">
        <v>0</v>
      </c>
      <c r="D219">
        <v>0</v>
      </c>
    </row>
    <row r="220" spans="1:4">
      <c r="A220">
        <v>0</v>
      </c>
      <c r="B220">
        <v>0</v>
      </c>
      <c r="C220">
        <v>0</v>
      </c>
      <c r="D220">
        <v>0</v>
      </c>
    </row>
    <row r="221" spans="1:4">
      <c r="A221">
        <v>0</v>
      </c>
      <c r="B221">
        <v>0</v>
      </c>
      <c r="C221">
        <v>0</v>
      </c>
      <c r="D221">
        <v>0</v>
      </c>
    </row>
    <row r="222" spans="1:4">
      <c r="A222">
        <v>0</v>
      </c>
      <c r="B222">
        <v>0</v>
      </c>
      <c r="C222">
        <v>0</v>
      </c>
      <c r="D222">
        <v>0</v>
      </c>
    </row>
    <row r="223" spans="1:4">
      <c r="A223">
        <v>0</v>
      </c>
      <c r="B223">
        <v>0</v>
      </c>
      <c r="C223">
        <v>0</v>
      </c>
      <c r="D223">
        <v>0</v>
      </c>
    </row>
    <row r="224" spans="1:4">
      <c r="A224">
        <v>0</v>
      </c>
      <c r="B224">
        <v>0</v>
      </c>
      <c r="C224">
        <v>0</v>
      </c>
      <c r="D224">
        <v>0</v>
      </c>
    </row>
    <row r="225" spans="1:4">
      <c r="A225">
        <v>0</v>
      </c>
      <c r="B225">
        <v>0</v>
      </c>
      <c r="C225">
        <v>0</v>
      </c>
      <c r="D225">
        <v>0</v>
      </c>
    </row>
    <row r="226" spans="1:4">
      <c r="A226">
        <v>0</v>
      </c>
      <c r="B226">
        <v>0</v>
      </c>
      <c r="C226">
        <v>0</v>
      </c>
      <c r="D226">
        <v>0</v>
      </c>
    </row>
    <row r="227" spans="1:4">
      <c r="A227">
        <v>0</v>
      </c>
      <c r="B227">
        <v>0</v>
      </c>
      <c r="C227">
        <v>0</v>
      </c>
      <c r="D227">
        <v>0</v>
      </c>
    </row>
    <row r="228" spans="1:4">
      <c r="A228">
        <v>0</v>
      </c>
      <c r="B228">
        <v>0</v>
      </c>
      <c r="C228">
        <v>0</v>
      </c>
      <c r="D228">
        <v>0</v>
      </c>
    </row>
    <row r="229" spans="1:4">
      <c r="A229">
        <v>0</v>
      </c>
      <c r="B229">
        <v>0</v>
      </c>
      <c r="C229">
        <v>0</v>
      </c>
      <c r="D229">
        <v>0</v>
      </c>
    </row>
    <row r="230" spans="1:4">
      <c r="A230">
        <v>0</v>
      </c>
      <c r="B230">
        <v>0</v>
      </c>
      <c r="C230">
        <v>0</v>
      </c>
      <c r="D230">
        <v>0</v>
      </c>
    </row>
    <row r="231" spans="1:4">
      <c r="A231">
        <v>0</v>
      </c>
      <c r="B231">
        <v>0</v>
      </c>
      <c r="C231">
        <v>0</v>
      </c>
      <c r="D231">
        <v>0</v>
      </c>
    </row>
    <row r="232" spans="1:4">
      <c r="A232">
        <v>0</v>
      </c>
      <c r="B232">
        <v>0</v>
      </c>
      <c r="C232">
        <v>0</v>
      </c>
      <c r="D232">
        <v>0</v>
      </c>
    </row>
    <row r="233" spans="1:4">
      <c r="A233">
        <v>0</v>
      </c>
      <c r="B233">
        <v>0</v>
      </c>
      <c r="C233">
        <v>0</v>
      </c>
      <c r="D233">
        <v>0</v>
      </c>
    </row>
    <row r="234" spans="1:4">
      <c r="A234">
        <v>0</v>
      </c>
      <c r="B234">
        <v>0</v>
      </c>
      <c r="C234">
        <v>0</v>
      </c>
      <c r="D234">
        <v>0</v>
      </c>
    </row>
    <row r="235" spans="1:4">
      <c r="A235">
        <v>0</v>
      </c>
      <c r="B235">
        <v>0</v>
      </c>
      <c r="C235">
        <v>0</v>
      </c>
      <c r="D235">
        <v>0</v>
      </c>
    </row>
    <row r="236" spans="1:4">
      <c r="A236">
        <v>0</v>
      </c>
      <c r="B236">
        <v>0</v>
      </c>
      <c r="C236">
        <v>0</v>
      </c>
      <c r="D236">
        <v>0</v>
      </c>
    </row>
    <row r="237" spans="1:4">
      <c r="A237">
        <v>0</v>
      </c>
      <c r="B237">
        <v>0</v>
      </c>
      <c r="C237">
        <v>0</v>
      </c>
      <c r="D237">
        <v>0</v>
      </c>
    </row>
    <row r="238" spans="1:4">
      <c r="A238">
        <v>0</v>
      </c>
      <c r="B238">
        <v>0</v>
      </c>
      <c r="C238">
        <v>0</v>
      </c>
      <c r="D238">
        <v>0</v>
      </c>
    </row>
    <row r="239" spans="1:4">
      <c r="A239">
        <v>0</v>
      </c>
      <c r="B239">
        <v>0</v>
      </c>
      <c r="C239">
        <v>0</v>
      </c>
      <c r="D239">
        <v>0</v>
      </c>
    </row>
    <row r="240" spans="1:4">
      <c r="A240">
        <v>0</v>
      </c>
      <c r="B240">
        <v>0</v>
      </c>
      <c r="C240">
        <v>0</v>
      </c>
      <c r="D240">
        <v>0</v>
      </c>
    </row>
    <row r="241" spans="1:4">
      <c r="A241">
        <v>0</v>
      </c>
      <c r="B241">
        <v>0</v>
      </c>
      <c r="C241">
        <v>0</v>
      </c>
      <c r="D241">
        <v>0</v>
      </c>
    </row>
    <row r="242" spans="1:4">
      <c r="A242">
        <v>0</v>
      </c>
      <c r="B242">
        <v>0</v>
      </c>
      <c r="C242">
        <v>0</v>
      </c>
      <c r="D242">
        <v>0</v>
      </c>
    </row>
    <row r="243" spans="1:4">
      <c r="A243">
        <v>0</v>
      </c>
      <c r="B243">
        <v>0</v>
      </c>
      <c r="C243">
        <v>0</v>
      </c>
      <c r="D243">
        <v>0</v>
      </c>
    </row>
    <row r="244" spans="1:4">
      <c r="A244">
        <v>0</v>
      </c>
      <c r="B244">
        <v>0</v>
      </c>
      <c r="C244">
        <v>0</v>
      </c>
      <c r="D244">
        <v>0</v>
      </c>
    </row>
    <row r="245" spans="1:4">
      <c r="A245">
        <v>0</v>
      </c>
      <c r="B245">
        <v>0</v>
      </c>
      <c r="C245">
        <v>0</v>
      </c>
      <c r="D245">
        <v>0</v>
      </c>
    </row>
    <row r="246" spans="1:4">
      <c r="A246">
        <v>0</v>
      </c>
      <c r="B246">
        <v>0</v>
      </c>
      <c r="C246">
        <v>0</v>
      </c>
      <c r="D246">
        <v>0</v>
      </c>
    </row>
    <row r="247" spans="1:4">
      <c r="A247">
        <v>0</v>
      </c>
      <c r="B247">
        <v>0</v>
      </c>
      <c r="C247">
        <v>0</v>
      </c>
      <c r="D247">
        <v>0</v>
      </c>
    </row>
    <row r="248" spans="1:4">
      <c r="A248">
        <v>0</v>
      </c>
      <c r="B248">
        <v>0</v>
      </c>
      <c r="C248">
        <v>0</v>
      </c>
      <c r="D248">
        <v>0</v>
      </c>
    </row>
    <row r="249" spans="1:4">
      <c r="A249">
        <v>0</v>
      </c>
      <c r="B249">
        <v>0</v>
      </c>
      <c r="C249">
        <v>0</v>
      </c>
      <c r="D249">
        <v>0</v>
      </c>
    </row>
    <row r="250" spans="1:4">
      <c r="A250">
        <v>0</v>
      </c>
      <c r="B250">
        <v>0</v>
      </c>
      <c r="C250">
        <v>0</v>
      </c>
      <c r="D250">
        <v>0</v>
      </c>
    </row>
    <row r="251" spans="1:4">
      <c r="A251">
        <v>0</v>
      </c>
      <c r="B251">
        <v>0</v>
      </c>
      <c r="C251">
        <v>0</v>
      </c>
      <c r="D251">
        <v>0</v>
      </c>
    </row>
    <row r="252" spans="1:4">
      <c r="A252">
        <v>0</v>
      </c>
      <c r="B252">
        <v>0</v>
      </c>
      <c r="C252">
        <v>0</v>
      </c>
      <c r="D252">
        <v>0</v>
      </c>
    </row>
    <row r="253" spans="1:4">
      <c r="A253">
        <v>0</v>
      </c>
      <c r="B253">
        <v>0</v>
      </c>
      <c r="C253">
        <v>0</v>
      </c>
      <c r="D253">
        <v>0</v>
      </c>
    </row>
    <row r="254" spans="1:4">
      <c r="A254">
        <v>0</v>
      </c>
      <c r="B254">
        <v>0</v>
      </c>
      <c r="C254">
        <v>0</v>
      </c>
      <c r="D254">
        <v>0</v>
      </c>
    </row>
    <row r="255" spans="1:4">
      <c r="A255">
        <v>0</v>
      </c>
      <c r="B255">
        <v>0</v>
      </c>
      <c r="C255">
        <v>0</v>
      </c>
      <c r="D255">
        <v>0</v>
      </c>
    </row>
    <row r="256" spans="1:4">
      <c r="A256">
        <v>0</v>
      </c>
      <c r="B256">
        <v>0</v>
      </c>
      <c r="C256">
        <v>0</v>
      </c>
      <c r="D256">
        <v>0</v>
      </c>
    </row>
    <row r="257" spans="1:4">
      <c r="A257">
        <v>0</v>
      </c>
      <c r="B257">
        <v>0</v>
      </c>
      <c r="C257">
        <v>0</v>
      </c>
      <c r="D257">
        <v>0</v>
      </c>
    </row>
    <row r="258" spans="1:4">
      <c r="A258">
        <v>0</v>
      </c>
      <c r="B258">
        <v>0</v>
      </c>
      <c r="C258">
        <v>0</v>
      </c>
      <c r="D258">
        <v>0</v>
      </c>
    </row>
    <row r="259" spans="1:4">
      <c r="A259">
        <v>0</v>
      </c>
      <c r="B259">
        <v>0</v>
      </c>
      <c r="C259">
        <v>0</v>
      </c>
      <c r="D259">
        <v>0</v>
      </c>
    </row>
    <row r="260" spans="1:4">
      <c r="A260">
        <v>0</v>
      </c>
      <c r="B260">
        <v>0</v>
      </c>
      <c r="C260">
        <v>0</v>
      </c>
      <c r="D260">
        <v>0</v>
      </c>
    </row>
    <row r="261" spans="1:4">
      <c r="A261">
        <v>0</v>
      </c>
      <c r="B261">
        <v>0</v>
      </c>
      <c r="C261">
        <v>0</v>
      </c>
      <c r="D261">
        <v>0</v>
      </c>
    </row>
    <row r="262" spans="1:4">
      <c r="A262">
        <v>0</v>
      </c>
      <c r="B262">
        <v>0</v>
      </c>
      <c r="C262">
        <v>0</v>
      </c>
      <c r="D262">
        <v>0</v>
      </c>
    </row>
    <row r="263" spans="1:4">
      <c r="A263">
        <v>0</v>
      </c>
      <c r="B263">
        <v>0</v>
      </c>
      <c r="C263">
        <v>0</v>
      </c>
      <c r="D263">
        <v>0</v>
      </c>
    </row>
    <row r="264" spans="1:4">
      <c r="A264">
        <v>0</v>
      </c>
      <c r="B264">
        <v>0</v>
      </c>
      <c r="C264">
        <v>0</v>
      </c>
      <c r="D264">
        <v>0</v>
      </c>
    </row>
    <row r="265" spans="1:4">
      <c r="A265">
        <v>0</v>
      </c>
      <c r="B265">
        <v>0</v>
      </c>
      <c r="C265">
        <v>0</v>
      </c>
      <c r="D265">
        <v>0</v>
      </c>
    </row>
    <row r="266" spans="1:4">
      <c r="A266">
        <v>0</v>
      </c>
      <c r="B266">
        <v>0</v>
      </c>
      <c r="C266">
        <v>0</v>
      </c>
      <c r="D266">
        <v>0</v>
      </c>
    </row>
    <row r="267" spans="1:4">
      <c r="A267">
        <v>0</v>
      </c>
      <c r="B267">
        <v>0</v>
      </c>
      <c r="C267">
        <v>0</v>
      </c>
      <c r="D267">
        <v>0</v>
      </c>
    </row>
    <row r="268" spans="1:4">
      <c r="A268">
        <v>0</v>
      </c>
      <c r="B268">
        <v>0</v>
      </c>
      <c r="C268">
        <v>0</v>
      </c>
      <c r="D268">
        <v>0</v>
      </c>
    </row>
    <row r="269" spans="1:4">
      <c r="A269">
        <v>0</v>
      </c>
      <c r="B269">
        <v>0</v>
      </c>
      <c r="C269">
        <v>0</v>
      </c>
      <c r="D269">
        <v>0</v>
      </c>
    </row>
    <row r="270" spans="1:4">
      <c r="A270">
        <v>0</v>
      </c>
      <c r="B270">
        <v>0</v>
      </c>
      <c r="C270">
        <v>0</v>
      </c>
      <c r="D270">
        <v>0</v>
      </c>
    </row>
    <row r="271" spans="1:4">
      <c r="A271">
        <v>0</v>
      </c>
      <c r="B271">
        <v>0</v>
      </c>
      <c r="C271">
        <v>0</v>
      </c>
      <c r="D271">
        <v>0</v>
      </c>
    </row>
    <row r="272" spans="1:4">
      <c r="A272">
        <v>0</v>
      </c>
      <c r="B272">
        <v>0</v>
      </c>
      <c r="C272">
        <v>0</v>
      </c>
      <c r="D272">
        <v>0</v>
      </c>
    </row>
    <row r="273" spans="1:4">
      <c r="A273">
        <v>0</v>
      </c>
      <c r="B273">
        <v>0</v>
      </c>
      <c r="C273">
        <v>0</v>
      </c>
      <c r="D273">
        <v>0</v>
      </c>
    </row>
    <row r="274" spans="1:4">
      <c r="A274">
        <v>0</v>
      </c>
      <c r="B274">
        <v>0</v>
      </c>
      <c r="C274">
        <v>0</v>
      </c>
      <c r="D274">
        <v>0</v>
      </c>
    </row>
    <row r="275" spans="1:4">
      <c r="A275">
        <v>0</v>
      </c>
      <c r="B275">
        <v>0</v>
      </c>
      <c r="C275">
        <v>0</v>
      </c>
      <c r="D275">
        <v>0</v>
      </c>
    </row>
    <row r="276" spans="1:4">
      <c r="A276">
        <v>0</v>
      </c>
      <c r="B276">
        <v>0</v>
      </c>
      <c r="C276">
        <v>0</v>
      </c>
      <c r="D276">
        <v>0</v>
      </c>
    </row>
    <row r="277" spans="1:4">
      <c r="A277">
        <v>0</v>
      </c>
      <c r="B277">
        <v>0</v>
      </c>
      <c r="C277">
        <v>0</v>
      </c>
      <c r="D277">
        <v>0</v>
      </c>
    </row>
    <row r="278" spans="1:4">
      <c r="A278">
        <v>0</v>
      </c>
      <c r="B278">
        <v>0</v>
      </c>
      <c r="C278">
        <v>0</v>
      </c>
      <c r="D278">
        <v>0</v>
      </c>
    </row>
    <row r="279" spans="1:4">
      <c r="A279">
        <v>0</v>
      </c>
      <c r="B279">
        <v>0</v>
      </c>
      <c r="C279">
        <v>0</v>
      </c>
      <c r="D279">
        <v>0</v>
      </c>
    </row>
    <row r="280" spans="1:4">
      <c r="A280">
        <v>0</v>
      </c>
      <c r="B280">
        <v>0</v>
      </c>
      <c r="C280">
        <v>0</v>
      </c>
      <c r="D280">
        <v>0</v>
      </c>
    </row>
    <row r="281" spans="1:4">
      <c r="A281">
        <v>0</v>
      </c>
      <c r="B281">
        <v>0</v>
      </c>
      <c r="C281">
        <v>0</v>
      </c>
      <c r="D281">
        <v>0</v>
      </c>
    </row>
    <row r="282" spans="1:4">
      <c r="A282">
        <v>0</v>
      </c>
      <c r="B282">
        <v>0</v>
      </c>
      <c r="C282">
        <v>0</v>
      </c>
      <c r="D282">
        <v>0</v>
      </c>
    </row>
    <row r="283" spans="1:4">
      <c r="A283">
        <v>0</v>
      </c>
      <c r="B283">
        <v>0</v>
      </c>
      <c r="C283">
        <v>0</v>
      </c>
      <c r="D283">
        <v>0</v>
      </c>
    </row>
    <row r="284" spans="1:4">
      <c r="A284">
        <v>0</v>
      </c>
      <c r="B284">
        <v>0</v>
      </c>
      <c r="C284">
        <v>0</v>
      </c>
      <c r="D284">
        <v>0</v>
      </c>
    </row>
    <row r="285" spans="1:4">
      <c r="A285">
        <v>0</v>
      </c>
      <c r="B285">
        <v>0</v>
      </c>
      <c r="C285">
        <v>0</v>
      </c>
      <c r="D285">
        <v>0</v>
      </c>
    </row>
    <row r="286" spans="1:4">
      <c r="A286">
        <v>0</v>
      </c>
      <c r="B286">
        <v>0</v>
      </c>
      <c r="C286">
        <v>0</v>
      </c>
      <c r="D286">
        <v>0</v>
      </c>
    </row>
    <row r="287" spans="1:4">
      <c r="A287">
        <v>0</v>
      </c>
      <c r="B287">
        <v>0</v>
      </c>
      <c r="C287">
        <v>0</v>
      </c>
      <c r="D287">
        <v>0</v>
      </c>
    </row>
    <row r="288" spans="1:4">
      <c r="A288">
        <v>0</v>
      </c>
      <c r="B288">
        <v>0</v>
      </c>
      <c r="C288">
        <v>0</v>
      </c>
      <c r="D288">
        <v>0</v>
      </c>
    </row>
    <row r="289" spans="1:4">
      <c r="A289">
        <v>0</v>
      </c>
      <c r="B289">
        <v>0</v>
      </c>
      <c r="C289">
        <v>0</v>
      </c>
      <c r="D289">
        <v>0</v>
      </c>
    </row>
    <row r="290" spans="1:4">
      <c r="A290">
        <v>0</v>
      </c>
      <c r="B290">
        <v>0</v>
      </c>
      <c r="C290">
        <v>0</v>
      </c>
      <c r="D290">
        <v>0</v>
      </c>
    </row>
    <row r="291" spans="1:4">
      <c r="A291">
        <v>0</v>
      </c>
      <c r="B291">
        <v>0</v>
      </c>
      <c r="C291">
        <v>0</v>
      </c>
      <c r="D291">
        <v>0</v>
      </c>
    </row>
    <row r="292" spans="1:4">
      <c r="A292">
        <v>0</v>
      </c>
      <c r="B292">
        <v>0</v>
      </c>
      <c r="C292">
        <v>0</v>
      </c>
      <c r="D292">
        <v>0</v>
      </c>
    </row>
    <row r="293" spans="1:4">
      <c r="A293">
        <v>0</v>
      </c>
      <c r="B293">
        <v>0</v>
      </c>
      <c r="C293">
        <v>0</v>
      </c>
      <c r="D293">
        <v>0</v>
      </c>
    </row>
    <row r="294" spans="1:4">
      <c r="A294">
        <v>0</v>
      </c>
      <c r="B294">
        <v>0</v>
      </c>
      <c r="C294">
        <v>0</v>
      </c>
      <c r="D294">
        <v>0</v>
      </c>
    </row>
    <row r="295" spans="1:4">
      <c r="A295">
        <v>0</v>
      </c>
      <c r="B295">
        <v>0</v>
      </c>
      <c r="C295">
        <v>0</v>
      </c>
      <c r="D295">
        <v>0</v>
      </c>
    </row>
    <row r="296" spans="1:4">
      <c r="A296">
        <v>0</v>
      </c>
      <c r="B296">
        <v>0</v>
      </c>
      <c r="C296">
        <v>0</v>
      </c>
      <c r="D296">
        <v>0</v>
      </c>
    </row>
    <row r="297" spans="1:4">
      <c r="A297">
        <v>0</v>
      </c>
      <c r="B297">
        <v>0</v>
      </c>
      <c r="C297">
        <v>0</v>
      </c>
      <c r="D297">
        <v>0</v>
      </c>
    </row>
    <row r="298" spans="1:4">
      <c r="A298">
        <v>0</v>
      </c>
      <c r="B298">
        <v>0</v>
      </c>
      <c r="C298">
        <v>0</v>
      </c>
      <c r="D298">
        <v>0</v>
      </c>
    </row>
    <row r="299" spans="1:4">
      <c r="A299">
        <v>0</v>
      </c>
      <c r="B299">
        <v>0</v>
      </c>
      <c r="C299">
        <v>0</v>
      </c>
      <c r="D299">
        <v>0</v>
      </c>
    </row>
    <row r="300" spans="1:4">
      <c r="A300">
        <v>0</v>
      </c>
      <c r="B300">
        <v>0</v>
      </c>
      <c r="C300">
        <v>0</v>
      </c>
      <c r="D300">
        <v>0</v>
      </c>
    </row>
    <row r="301" spans="1:4">
      <c r="A301">
        <v>0</v>
      </c>
      <c r="B301">
        <v>0</v>
      </c>
      <c r="C301">
        <v>0</v>
      </c>
      <c r="D301">
        <v>0</v>
      </c>
    </row>
    <row r="302" spans="1:4">
      <c r="A302">
        <v>0</v>
      </c>
      <c r="B302">
        <v>0</v>
      </c>
      <c r="C302">
        <v>0</v>
      </c>
      <c r="D302">
        <v>0</v>
      </c>
    </row>
    <row r="303" spans="1:4">
      <c r="A303">
        <v>0</v>
      </c>
      <c r="B303">
        <v>0</v>
      </c>
      <c r="C303">
        <v>0</v>
      </c>
      <c r="D303">
        <v>0</v>
      </c>
    </row>
    <row r="304" spans="1:4">
      <c r="A304">
        <v>0</v>
      </c>
      <c r="B304">
        <v>0</v>
      </c>
      <c r="C304">
        <v>0</v>
      </c>
      <c r="D304">
        <v>0</v>
      </c>
    </row>
    <row r="305" spans="1:4">
      <c r="A305">
        <v>0</v>
      </c>
      <c r="B305">
        <v>0</v>
      </c>
      <c r="C305">
        <v>0</v>
      </c>
      <c r="D305">
        <v>0</v>
      </c>
    </row>
    <row r="306" spans="1:4">
      <c r="A306">
        <v>0</v>
      </c>
      <c r="B306">
        <v>0</v>
      </c>
      <c r="C306">
        <v>0</v>
      </c>
      <c r="D306">
        <v>0</v>
      </c>
    </row>
    <row r="307" spans="1:4">
      <c r="A307">
        <v>0</v>
      </c>
      <c r="B307">
        <v>0</v>
      </c>
      <c r="C307">
        <v>0</v>
      </c>
      <c r="D307">
        <v>0</v>
      </c>
    </row>
    <row r="308" spans="1:4">
      <c r="A308">
        <v>0</v>
      </c>
      <c r="B308">
        <v>0</v>
      </c>
      <c r="C308">
        <v>0</v>
      </c>
      <c r="D308">
        <v>0</v>
      </c>
    </row>
    <row r="309" spans="1:4">
      <c r="A309">
        <v>0</v>
      </c>
      <c r="B309">
        <v>0</v>
      </c>
      <c r="C309">
        <v>0</v>
      </c>
      <c r="D309">
        <v>0</v>
      </c>
    </row>
    <row r="310" spans="1:4">
      <c r="A310">
        <v>0</v>
      </c>
      <c r="B310">
        <v>0</v>
      </c>
      <c r="C310">
        <v>0</v>
      </c>
      <c r="D310">
        <v>0</v>
      </c>
    </row>
    <row r="311" spans="1:4">
      <c r="A311">
        <v>0</v>
      </c>
      <c r="B311">
        <v>0</v>
      </c>
      <c r="C311">
        <v>0</v>
      </c>
      <c r="D311">
        <v>0</v>
      </c>
    </row>
    <row r="312" spans="1:4">
      <c r="A312">
        <v>0</v>
      </c>
      <c r="B312">
        <v>0</v>
      </c>
      <c r="C312">
        <v>0</v>
      </c>
      <c r="D312">
        <v>0</v>
      </c>
    </row>
    <row r="313" spans="1:4">
      <c r="A313">
        <v>0</v>
      </c>
      <c r="B313">
        <v>0</v>
      </c>
      <c r="C313">
        <v>0</v>
      </c>
      <c r="D313">
        <v>0</v>
      </c>
    </row>
    <row r="314" spans="1:4">
      <c r="A314">
        <v>0</v>
      </c>
      <c r="B314">
        <v>0</v>
      </c>
      <c r="C314">
        <v>0</v>
      </c>
      <c r="D314">
        <v>0</v>
      </c>
    </row>
    <row r="315" spans="1:4">
      <c r="A315">
        <v>0</v>
      </c>
      <c r="B315">
        <v>0</v>
      </c>
      <c r="C315">
        <v>0</v>
      </c>
      <c r="D315">
        <v>0</v>
      </c>
    </row>
    <row r="316" spans="1:4">
      <c r="A316">
        <v>0</v>
      </c>
      <c r="B316">
        <v>0</v>
      </c>
      <c r="C316">
        <v>0</v>
      </c>
      <c r="D316">
        <v>0</v>
      </c>
    </row>
    <row r="317" spans="1:4">
      <c r="A317">
        <v>0</v>
      </c>
      <c r="B317">
        <v>0</v>
      </c>
      <c r="C317">
        <v>0</v>
      </c>
      <c r="D317">
        <v>0</v>
      </c>
    </row>
    <row r="318" spans="1:4">
      <c r="A318">
        <v>0</v>
      </c>
      <c r="B318">
        <v>0</v>
      </c>
      <c r="C318">
        <v>0</v>
      </c>
      <c r="D318">
        <v>0</v>
      </c>
    </row>
    <row r="319" spans="1:4">
      <c r="A319">
        <v>0</v>
      </c>
      <c r="B319">
        <v>0</v>
      </c>
      <c r="C319">
        <v>0</v>
      </c>
      <c r="D319">
        <v>0</v>
      </c>
    </row>
    <row r="320" spans="1:4">
      <c r="A320">
        <v>0</v>
      </c>
      <c r="B320">
        <v>0</v>
      </c>
      <c r="C320">
        <v>0</v>
      </c>
      <c r="D320">
        <v>0</v>
      </c>
    </row>
    <row r="321" spans="1:4">
      <c r="A321">
        <v>0</v>
      </c>
      <c r="B321">
        <v>0</v>
      </c>
      <c r="C321">
        <v>0</v>
      </c>
      <c r="D321">
        <v>0</v>
      </c>
    </row>
    <row r="322" spans="1:4">
      <c r="A322">
        <v>0</v>
      </c>
      <c r="B322">
        <v>0</v>
      </c>
      <c r="C322">
        <v>0</v>
      </c>
      <c r="D322">
        <v>0</v>
      </c>
    </row>
    <row r="323" spans="1:4">
      <c r="A323">
        <v>0</v>
      </c>
      <c r="B323">
        <v>0</v>
      </c>
      <c r="C323">
        <v>0</v>
      </c>
      <c r="D323">
        <v>0</v>
      </c>
    </row>
    <row r="324" spans="1:4">
      <c r="A324">
        <v>0</v>
      </c>
      <c r="B324">
        <v>0</v>
      </c>
      <c r="C324">
        <v>0</v>
      </c>
      <c r="D324">
        <v>0</v>
      </c>
    </row>
    <row r="325" spans="1:4">
      <c r="A325">
        <v>0</v>
      </c>
      <c r="B325">
        <v>0</v>
      </c>
      <c r="C325">
        <v>0</v>
      </c>
      <c r="D325">
        <v>0</v>
      </c>
    </row>
    <row r="326" spans="1:4">
      <c r="A326">
        <v>0</v>
      </c>
      <c r="B326">
        <v>0</v>
      </c>
      <c r="C326">
        <v>0</v>
      </c>
      <c r="D326">
        <v>0</v>
      </c>
    </row>
    <row r="327" spans="1:4">
      <c r="A327">
        <v>0</v>
      </c>
      <c r="B327">
        <v>0</v>
      </c>
      <c r="C327">
        <v>0</v>
      </c>
      <c r="D327">
        <v>0</v>
      </c>
    </row>
    <row r="328" spans="1:4">
      <c r="A328">
        <v>0</v>
      </c>
      <c r="B328">
        <v>0</v>
      </c>
      <c r="C328">
        <v>0</v>
      </c>
      <c r="D328">
        <v>0</v>
      </c>
    </row>
    <row r="329" spans="1:4">
      <c r="A329">
        <v>0</v>
      </c>
      <c r="B329">
        <v>0</v>
      </c>
      <c r="C329">
        <v>0</v>
      </c>
      <c r="D329">
        <v>0</v>
      </c>
    </row>
    <row r="330" spans="1:4">
      <c r="A330">
        <v>0</v>
      </c>
      <c r="B330">
        <v>0</v>
      </c>
      <c r="C330">
        <v>0</v>
      </c>
      <c r="D330">
        <v>0</v>
      </c>
    </row>
    <row r="331" spans="1:4">
      <c r="A331">
        <v>0</v>
      </c>
      <c r="B331">
        <v>0</v>
      </c>
      <c r="C331">
        <v>0</v>
      </c>
      <c r="D331">
        <v>0</v>
      </c>
    </row>
  </sheetData>
  <sheetProtection password="E4E4" sheet="1" objects="1" scenarios="1"/>
  <mergeCells count="133">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 ref="F53:P53"/>
    <mergeCell ref="F54:P54"/>
    <mergeCell ref="F55:P55"/>
    <mergeCell ref="F56:P56"/>
    <mergeCell ref="F57:P57"/>
    <mergeCell ref="F58:P58"/>
    <mergeCell ref="F59:P59"/>
    <mergeCell ref="F60:P60"/>
    <mergeCell ref="F61:P61"/>
    <mergeCell ref="F62:P62"/>
    <mergeCell ref="F63:P63"/>
    <mergeCell ref="F64:P64"/>
    <mergeCell ref="F65:P65"/>
    <mergeCell ref="F66:P66"/>
    <mergeCell ref="F67:P67"/>
    <mergeCell ref="F68:P68"/>
    <mergeCell ref="F69:P69"/>
    <mergeCell ref="F70:P70"/>
    <mergeCell ref="F71:P71"/>
    <mergeCell ref="F72:P72"/>
    <mergeCell ref="F73:P73"/>
    <mergeCell ref="F74:P74"/>
    <mergeCell ref="F75:P75"/>
    <mergeCell ref="F76:P76"/>
    <mergeCell ref="F77:P77"/>
    <mergeCell ref="F78:P78"/>
    <mergeCell ref="F79:P79"/>
    <mergeCell ref="F80:P80"/>
    <mergeCell ref="F81:P81"/>
    <mergeCell ref="F82:P82"/>
    <mergeCell ref="F83:P83"/>
    <mergeCell ref="F84:P84"/>
    <mergeCell ref="F85:P85"/>
    <mergeCell ref="F86:P86"/>
    <mergeCell ref="F87:P87"/>
    <mergeCell ref="F88:P88"/>
    <mergeCell ref="F89:P89"/>
    <mergeCell ref="F90:P90"/>
    <mergeCell ref="F91:P91"/>
    <mergeCell ref="F92:P92"/>
    <mergeCell ref="F93:P93"/>
    <mergeCell ref="F94:P94"/>
    <mergeCell ref="F95:P95"/>
    <mergeCell ref="F96:P96"/>
    <mergeCell ref="F97:P97"/>
    <mergeCell ref="F98:P98"/>
    <mergeCell ref="F99:P99"/>
    <mergeCell ref="F100:P100"/>
    <mergeCell ref="F101:P101"/>
    <mergeCell ref="F102:P102"/>
    <mergeCell ref="F103:P103"/>
    <mergeCell ref="F104:P104"/>
    <mergeCell ref="F105:P105"/>
    <mergeCell ref="F106:P106"/>
    <mergeCell ref="F107:P107"/>
    <mergeCell ref="F108:P108"/>
    <mergeCell ref="F109:P109"/>
    <mergeCell ref="F110:P110"/>
    <mergeCell ref="F111:P111"/>
    <mergeCell ref="F112:P112"/>
    <mergeCell ref="F113:P113"/>
    <mergeCell ref="F114:P114"/>
    <mergeCell ref="F115:P115"/>
    <mergeCell ref="F116:P116"/>
    <mergeCell ref="F117:P117"/>
    <mergeCell ref="F118:P118"/>
    <mergeCell ref="F119:P119"/>
    <mergeCell ref="F120:P120"/>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V331"/>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772</v>
      </c>
    </row>
    <row r="2" spans="1:22">
      <c r="F2" s="15" t="s">
        <v>39</v>
      </c>
      <c r="G2" s="16" t="s">
        <v>40</v>
      </c>
      <c r="H2" s="16"/>
      <c r="I2" s="16"/>
      <c r="J2" s="16" t="s">
        <v>41</v>
      </c>
      <c r="K2" s="16"/>
      <c r="L2" s="16"/>
      <c r="M2" s="16" t="s">
        <v>42</v>
      </c>
      <c r="N2" s="16"/>
      <c r="O2" s="16"/>
      <c r="U2" t="s">
        <v>755</v>
      </c>
      <c r="V2">
        <f>CountIf(data_summary_by_question!D2:D321,$V$1)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773</v>
      </c>
      <c r="G10" s="20"/>
      <c r="H10" s="20"/>
      <c r="I10" s="20"/>
      <c r="J10" s="20"/>
      <c r="K10" s="20"/>
      <c r="L10" s="20"/>
      <c r="M10" s="20"/>
      <c r="N10" s="20"/>
      <c r="O10" s="20"/>
      <c r="P10" s="20"/>
    </row>
    <row r="11" spans="1:22" ht="48" customHeight="1">
      <c r="A11" cm="1">
        <f t="array" ref="A11:D331">_xlfn._xlws.FILTER(data_summary_by_question!A2:D321,data_summary_by_question!D2:D321=$V$1)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ht="48" customHeight="1">
      <c r="A53">
        <v>0</v>
      </c>
      <c r="B53">
        <v>0</v>
      </c>
      <c r="C53">
        <v>0</v>
      </c>
      <c r="D53">
        <v>0</v>
      </c>
      <c r="F53" s="27">
        <f>IF(U6,IF(V2&lt;=1,"", IF(ISNA(C53),"",A53&amp; " - " &amp; C53)),"")</f>
        <v>0</v>
      </c>
      <c r="G53" s="27"/>
      <c r="H53" s="27"/>
      <c r="I53" s="27"/>
      <c r="J53" s="27"/>
      <c r="K53" s="27"/>
      <c r="L53" s="27"/>
      <c r="M53" s="27"/>
      <c r="N53" s="27"/>
      <c r="O53" s="27"/>
      <c r="P53" s="27"/>
    </row>
    <row r="54" spans="1:16" ht="48" customHeight="1">
      <c r="A54">
        <v>0</v>
      </c>
      <c r="B54">
        <v>0</v>
      </c>
      <c r="C54">
        <v>0</v>
      </c>
      <c r="D54">
        <v>0</v>
      </c>
      <c r="F54" s="27">
        <f>IF(U6,IF(V2&lt;=1,"", IF(ISNA(C54),"",A54&amp; " - " &amp; C54)),"")</f>
        <v>0</v>
      </c>
      <c r="G54" s="27"/>
      <c r="H54" s="27"/>
      <c r="I54" s="27"/>
      <c r="J54" s="27"/>
      <c r="K54" s="27"/>
      <c r="L54" s="27"/>
      <c r="M54" s="27"/>
      <c r="N54" s="27"/>
      <c r="O54" s="27"/>
      <c r="P54" s="27"/>
    </row>
    <row r="55" spans="1:16" ht="48" customHeight="1">
      <c r="A55">
        <v>0</v>
      </c>
      <c r="B55">
        <v>0</v>
      </c>
      <c r="C55">
        <v>0</v>
      </c>
      <c r="D55">
        <v>0</v>
      </c>
      <c r="F55" s="27">
        <f>IF(U6,IF(V2&lt;=1,"", IF(ISNA(C55),"",A55&amp; " - " &amp; C55)),"")</f>
        <v>0</v>
      </c>
      <c r="G55" s="27"/>
      <c r="H55" s="27"/>
      <c r="I55" s="27"/>
      <c r="J55" s="27"/>
      <c r="K55" s="27"/>
      <c r="L55" s="27"/>
      <c r="M55" s="27"/>
      <c r="N55" s="27"/>
      <c r="O55" s="27"/>
      <c r="P55" s="27"/>
    </row>
    <row r="56" spans="1:16" ht="48" customHeight="1">
      <c r="A56">
        <v>0</v>
      </c>
      <c r="B56">
        <v>0</v>
      </c>
      <c r="C56">
        <v>0</v>
      </c>
      <c r="D56">
        <v>0</v>
      </c>
      <c r="F56" s="27">
        <f>IF(U6,IF(V2&lt;=1,"", IF(ISNA(C56),"",A56&amp; " - " &amp; C56)),"")</f>
        <v>0</v>
      </c>
      <c r="G56" s="27"/>
      <c r="H56" s="27"/>
      <c r="I56" s="27"/>
      <c r="J56" s="27"/>
      <c r="K56" s="27"/>
      <c r="L56" s="27"/>
      <c r="M56" s="27"/>
      <c r="N56" s="27"/>
      <c r="O56" s="27"/>
      <c r="P56" s="27"/>
    </row>
    <row r="57" spans="1:16" ht="48" customHeight="1">
      <c r="A57">
        <v>0</v>
      </c>
      <c r="B57">
        <v>0</v>
      </c>
      <c r="C57">
        <v>0</v>
      </c>
      <c r="D57">
        <v>0</v>
      </c>
      <c r="F57" s="27">
        <f>IF(U6,IF(V2&lt;=1,"", IF(ISNA(C57),"",A57&amp; " - " &amp; C57)),"")</f>
        <v>0</v>
      </c>
      <c r="G57" s="27"/>
      <c r="H57" s="27"/>
      <c r="I57" s="27"/>
      <c r="J57" s="27"/>
      <c r="K57" s="27"/>
      <c r="L57" s="27"/>
      <c r="M57" s="27"/>
      <c r="N57" s="27"/>
      <c r="O57" s="27"/>
      <c r="P57" s="27"/>
    </row>
    <row r="58" spans="1:16" ht="48" customHeight="1">
      <c r="A58">
        <v>0</v>
      </c>
      <c r="B58">
        <v>0</v>
      </c>
      <c r="C58">
        <v>0</v>
      </c>
      <c r="D58">
        <v>0</v>
      </c>
      <c r="F58" s="27">
        <f>IF(U6,IF(V2&lt;=1,"", IF(ISNA(C58),"",A58&amp; " - " &amp; C58)),"")</f>
        <v>0</v>
      </c>
      <c r="G58" s="27"/>
      <c r="H58" s="27"/>
      <c r="I58" s="27"/>
      <c r="J58" s="27"/>
      <c r="K58" s="27"/>
      <c r="L58" s="27"/>
      <c r="M58" s="27"/>
      <c r="N58" s="27"/>
      <c r="O58" s="27"/>
      <c r="P58" s="27"/>
    </row>
    <row r="59" spans="1:16" ht="48" customHeight="1">
      <c r="A59">
        <v>0</v>
      </c>
      <c r="B59">
        <v>0</v>
      </c>
      <c r="C59">
        <v>0</v>
      </c>
      <c r="D59">
        <v>0</v>
      </c>
      <c r="F59" s="27">
        <f>IF(U6,IF(V2&lt;=1,"", IF(ISNA(C59),"",A59&amp; " - " &amp; C59)),"")</f>
        <v>0</v>
      </c>
      <c r="G59" s="27"/>
      <c r="H59" s="27"/>
      <c r="I59" s="27"/>
      <c r="J59" s="27"/>
      <c r="K59" s="27"/>
      <c r="L59" s="27"/>
      <c r="M59" s="27"/>
      <c r="N59" s="27"/>
      <c r="O59" s="27"/>
      <c r="P59" s="27"/>
    </row>
    <row r="60" spans="1:16" ht="48" customHeight="1">
      <c r="A60">
        <v>0</v>
      </c>
      <c r="B60">
        <v>0</v>
      </c>
      <c r="C60">
        <v>0</v>
      </c>
      <c r="D60">
        <v>0</v>
      </c>
      <c r="F60" s="27">
        <f>IF(U6,IF(V2&lt;=1,"", IF(ISNA(C60),"",A60&amp; " - " &amp; C60)),"")</f>
        <v>0</v>
      </c>
      <c r="G60" s="27"/>
      <c r="H60" s="27"/>
      <c r="I60" s="27"/>
      <c r="J60" s="27"/>
      <c r="K60" s="27"/>
      <c r="L60" s="27"/>
      <c r="M60" s="27"/>
      <c r="N60" s="27"/>
      <c r="O60" s="27"/>
      <c r="P60" s="27"/>
    </row>
    <row r="61" spans="1:16" ht="48" customHeight="1">
      <c r="A61">
        <v>0</v>
      </c>
      <c r="B61">
        <v>0</v>
      </c>
      <c r="C61">
        <v>0</v>
      </c>
      <c r="D61">
        <v>0</v>
      </c>
      <c r="F61" s="27">
        <f>IF(U6,IF(V2&lt;=1,"", IF(ISNA(C61),"",A61&amp; " - " &amp; C61)),"")</f>
        <v>0</v>
      </c>
      <c r="G61" s="27"/>
      <c r="H61" s="27"/>
      <c r="I61" s="27"/>
      <c r="J61" s="27"/>
      <c r="K61" s="27"/>
      <c r="L61" s="27"/>
      <c r="M61" s="27"/>
      <c r="N61" s="27"/>
      <c r="O61" s="27"/>
      <c r="P61" s="27"/>
    </row>
    <row r="62" spans="1:16" ht="48" customHeight="1">
      <c r="A62">
        <v>0</v>
      </c>
      <c r="B62">
        <v>0</v>
      </c>
      <c r="C62">
        <v>0</v>
      </c>
      <c r="D62">
        <v>0</v>
      </c>
      <c r="F62" s="27">
        <f>IF(U6,IF(V2&lt;=1,"", IF(ISNA(C62),"",A62&amp; " - " &amp; C62)),"")</f>
        <v>0</v>
      </c>
      <c r="G62" s="27"/>
      <c r="H62" s="27"/>
      <c r="I62" s="27"/>
      <c r="J62" s="27"/>
      <c r="K62" s="27"/>
      <c r="L62" s="27"/>
      <c r="M62" s="27"/>
      <c r="N62" s="27"/>
      <c r="O62" s="27"/>
      <c r="P62" s="27"/>
    </row>
    <row r="63" spans="1:16" ht="48" customHeight="1">
      <c r="A63">
        <v>0</v>
      </c>
      <c r="B63">
        <v>0</v>
      </c>
      <c r="C63">
        <v>0</v>
      </c>
      <c r="D63">
        <v>0</v>
      </c>
      <c r="F63" s="27">
        <f>IF(U6,IF(V2&lt;=1,"", IF(ISNA(C63),"",A63&amp; " - " &amp; C63)),"")</f>
        <v>0</v>
      </c>
      <c r="G63" s="27"/>
      <c r="H63" s="27"/>
      <c r="I63" s="27"/>
      <c r="J63" s="27"/>
      <c r="K63" s="27"/>
      <c r="L63" s="27"/>
      <c r="M63" s="27"/>
      <c r="N63" s="27"/>
      <c r="O63" s="27"/>
      <c r="P63" s="27"/>
    </row>
    <row r="64" spans="1:16" ht="48" customHeight="1">
      <c r="A64">
        <v>0</v>
      </c>
      <c r="B64">
        <v>0</v>
      </c>
      <c r="C64">
        <v>0</v>
      </c>
      <c r="D64">
        <v>0</v>
      </c>
      <c r="F64" s="27">
        <f>IF(U6,IF(V2&lt;=1,"", IF(ISNA(C64),"",A64&amp; " - " &amp; C64)),"")</f>
        <v>0</v>
      </c>
      <c r="G64" s="27"/>
      <c r="H64" s="27"/>
      <c r="I64" s="27"/>
      <c r="J64" s="27"/>
      <c r="K64" s="27"/>
      <c r="L64" s="27"/>
      <c r="M64" s="27"/>
      <c r="N64" s="27"/>
      <c r="O64" s="27"/>
      <c r="P64" s="27"/>
    </row>
    <row r="65" spans="1:16" ht="48" customHeight="1">
      <c r="A65">
        <v>0</v>
      </c>
      <c r="B65">
        <v>0</v>
      </c>
      <c r="C65">
        <v>0</v>
      </c>
      <c r="D65">
        <v>0</v>
      </c>
      <c r="F65" s="27">
        <f>IF(U6,IF(V2&lt;=1,"", IF(ISNA(C65),"",A65&amp; " - " &amp; C65)),"")</f>
        <v>0</v>
      </c>
      <c r="G65" s="27"/>
      <c r="H65" s="27"/>
      <c r="I65" s="27"/>
      <c r="J65" s="27"/>
      <c r="K65" s="27"/>
      <c r="L65" s="27"/>
      <c r="M65" s="27"/>
      <c r="N65" s="27"/>
      <c r="O65" s="27"/>
      <c r="P65" s="27"/>
    </row>
    <row r="66" spans="1:16" ht="48" customHeight="1">
      <c r="A66">
        <v>0</v>
      </c>
      <c r="B66">
        <v>0</v>
      </c>
      <c r="C66">
        <v>0</v>
      </c>
      <c r="D66">
        <v>0</v>
      </c>
      <c r="F66" s="27">
        <f>IF(U6,IF(V2&lt;=1,"", IF(ISNA(C66),"",A66&amp; " - " &amp; C66)),"")</f>
        <v>0</v>
      </c>
      <c r="G66" s="27"/>
      <c r="H66" s="27"/>
      <c r="I66" s="27"/>
      <c r="J66" s="27"/>
      <c r="K66" s="27"/>
      <c r="L66" s="27"/>
      <c r="M66" s="27"/>
      <c r="N66" s="27"/>
      <c r="O66" s="27"/>
      <c r="P66" s="27"/>
    </row>
    <row r="67" spans="1:16" ht="48" customHeight="1">
      <c r="A67">
        <v>0</v>
      </c>
      <c r="B67">
        <v>0</v>
      </c>
      <c r="C67">
        <v>0</v>
      </c>
      <c r="D67">
        <v>0</v>
      </c>
      <c r="F67" s="27">
        <f>IF(U6,IF(V2&lt;=1,"", IF(ISNA(C67),"",A67&amp; " - " &amp; C67)),"")</f>
        <v>0</v>
      </c>
      <c r="G67" s="27"/>
      <c r="H67" s="27"/>
      <c r="I67" s="27"/>
      <c r="J67" s="27"/>
      <c r="K67" s="27"/>
      <c r="L67" s="27"/>
      <c r="M67" s="27"/>
      <c r="N67" s="27"/>
      <c r="O67" s="27"/>
      <c r="P67" s="27"/>
    </row>
    <row r="68" spans="1:16" ht="48" customHeight="1">
      <c r="A68">
        <v>0</v>
      </c>
      <c r="B68">
        <v>0</v>
      </c>
      <c r="C68">
        <v>0</v>
      </c>
      <c r="D68">
        <v>0</v>
      </c>
      <c r="F68" s="27">
        <f>IF(U6,IF(V2&lt;=1,"", IF(ISNA(C68),"",A68&amp; " - " &amp; C68)),"")</f>
        <v>0</v>
      </c>
      <c r="G68" s="27"/>
      <c r="H68" s="27"/>
      <c r="I68" s="27"/>
      <c r="J68" s="27"/>
      <c r="K68" s="27"/>
      <c r="L68" s="27"/>
      <c r="M68" s="27"/>
      <c r="N68" s="27"/>
      <c r="O68" s="27"/>
      <c r="P68" s="27"/>
    </row>
    <row r="69" spans="1:16" ht="48" customHeight="1">
      <c r="A69">
        <v>0</v>
      </c>
      <c r="B69">
        <v>0</v>
      </c>
      <c r="C69">
        <v>0</v>
      </c>
      <c r="D69">
        <v>0</v>
      </c>
      <c r="F69" s="27">
        <f>IF(U6,IF(V2&lt;=1,"", IF(ISNA(C69),"",A69&amp; " - " &amp; C69)),"")</f>
        <v>0</v>
      </c>
      <c r="G69" s="27"/>
      <c r="H69" s="27"/>
      <c r="I69" s="27"/>
      <c r="J69" s="27"/>
      <c r="K69" s="27"/>
      <c r="L69" s="27"/>
      <c r="M69" s="27"/>
      <c r="N69" s="27"/>
      <c r="O69" s="27"/>
      <c r="P69" s="27"/>
    </row>
    <row r="70" spans="1:16" ht="48" customHeight="1">
      <c r="A70">
        <v>0</v>
      </c>
      <c r="B70">
        <v>0</v>
      </c>
      <c r="C70">
        <v>0</v>
      </c>
      <c r="D70">
        <v>0</v>
      </c>
      <c r="F70" s="27">
        <f>IF(U6,IF(V2&lt;=1,"", IF(ISNA(C70),"",A70&amp; " - " &amp; C70)),"")</f>
        <v>0</v>
      </c>
      <c r="G70" s="27"/>
      <c r="H70" s="27"/>
      <c r="I70" s="27"/>
      <c r="J70" s="27"/>
      <c r="K70" s="27"/>
      <c r="L70" s="27"/>
      <c r="M70" s="27"/>
      <c r="N70" s="27"/>
      <c r="O70" s="27"/>
      <c r="P70" s="27"/>
    </row>
    <row r="71" spans="1:16" ht="48" customHeight="1">
      <c r="A71">
        <v>0</v>
      </c>
      <c r="B71">
        <v>0</v>
      </c>
      <c r="C71">
        <v>0</v>
      </c>
      <c r="D71">
        <v>0</v>
      </c>
      <c r="F71" s="27">
        <f>IF(U6,IF(V2&lt;=1,"", IF(ISNA(C71),"",A71&amp; " - " &amp; C71)),"")</f>
        <v>0</v>
      </c>
      <c r="G71" s="27"/>
      <c r="H71" s="27"/>
      <c r="I71" s="27"/>
      <c r="J71" s="27"/>
      <c r="K71" s="27"/>
      <c r="L71" s="27"/>
      <c r="M71" s="27"/>
      <c r="N71" s="27"/>
      <c r="O71" s="27"/>
      <c r="P71" s="27"/>
    </row>
    <row r="72" spans="1:16" ht="48" customHeight="1">
      <c r="A72">
        <v>0</v>
      </c>
      <c r="B72">
        <v>0</v>
      </c>
      <c r="C72">
        <v>0</v>
      </c>
      <c r="D72">
        <v>0</v>
      </c>
      <c r="F72" s="27">
        <f>IF(U6,IF(V2&lt;=1,"", IF(ISNA(C72),"",A72&amp; " - " &amp; C72)),"")</f>
        <v>0</v>
      </c>
      <c r="G72" s="27"/>
      <c r="H72" s="27"/>
      <c r="I72" s="27"/>
      <c r="J72" s="27"/>
      <c r="K72" s="27"/>
      <c r="L72" s="27"/>
      <c r="M72" s="27"/>
      <c r="N72" s="27"/>
      <c r="O72" s="27"/>
      <c r="P72" s="27"/>
    </row>
    <row r="73" spans="1:16" ht="48" customHeight="1">
      <c r="A73">
        <v>0</v>
      </c>
      <c r="B73">
        <v>0</v>
      </c>
      <c r="C73">
        <v>0</v>
      </c>
      <c r="D73">
        <v>0</v>
      </c>
      <c r="F73" s="27">
        <f>IF(U6,IF(V2&lt;=1,"", IF(ISNA(C73),"",A73&amp; " - " &amp; C73)),"")</f>
        <v>0</v>
      </c>
      <c r="G73" s="27"/>
      <c r="H73" s="27"/>
      <c r="I73" s="27"/>
      <c r="J73" s="27"/>
      <c r="K73" s="27"/>
      <c r="L73" s="27"/>
      <c r="M73" s="27"/>
      <c r="N73" s="27"/>
      <c r="O73" s="27"/>
      <c r="P73" s="27"/>
    </row>
    <row r="74" spans="1:16" ht="48" customHeight="1">
      <c r="A74">
        <v>0</v>
      </c>
      <c r="B74">
        <v>0</v>
      </c>
      <c r="C74">
        <v>0</v>
      </c>
      <c r="D74">
        <v>0</v>
      </c>
      <c r="F74" s="27">
        <f>IF(U6,IF(V2&lt;=1,"", IF(ISNA(C74),"",A74&amp; " - " &amp; C74)),"")</f>
        <v>0</v>
      </c>
      <c r="G74" s="27"/>
      <c r="H74" s="27"/>
      <c r="I74" s="27"/>
      <c r="J74" s="27"/>
      <c r="K74" s="27"/>
      <c r="L74" s="27"/>
      <c r="M74" s="27"/>
      <c r="N74" s="27"/>
      <c r="O74" s="27"/>
      <c r="P74" s="27"/>
    </row>
    <row r="75" spans="1:16" ht="48" customHeight="1">
      <c r="A75">
        <v>0</v>
      </c>
      <c r="B75">
        <v>0</v>
      </c>
      <c r="C75">
        <v>0</v>
      </c>
      <c r="D75">
        <v>0</v>
      </c>
      <c r="F75" s="27">
        <f>IF(U6,IF(V2&lt;=1,"", IF(ISNA(C75),"",A75&amp; " - " &amp; C75)),"")</f>
        <v>0</v>
      </c>
      <c r="G75" s="27"/>
      <c r="H75" s="27"/>
      <c r="I75" s="27"/>
      <c r="J75" s="27"/>
      <c r="K75" s="27"/>
      <c r="L75" s="27"/>
      <c r="M75" s="27"/>
      <c r="N75" s="27"/>
      <c r="O75" s="27"/>
      <c r="P75" s="27"/>
    </row>
    <row r="76" spans="1:16" ht="48" customHeight="1">
      <c r="A76">
        <v>0</v>
      </c>
      <c r="B76">
        <v>0</v>
      </c>
      <c r="C76">
        <v>0</v>
      </c>
      <c r="D76">
        <v>0</v>
      </c>
      <c r="F76" s="27">
        <f>IF(U6,IF(V2&lt;=1,"", IF(ISNA(C76),"",A76&amp; " - " &amp; C76)),"")</f>
        <v>0</v>
      </c>
      <c r="G76" s="27"/>
      <c r="H76" s="27"/>
      <c r="I76" s="27"/>
      <c r="J76" s="27"/>
      <c r="K76" s="27"/>
      <c r="L76" s="27"/>
      <c r="M76" s="27"/>
      <c r="N76" s="27"/>
      <c r="O76" s="27"/>
      <c r="P76" s="27"/>
    </row>
    <row r="77" spans="1:16" ht="48" customHeight="1">
      <c r="A77">
        <v>0</v>
      </c>
      <c r="B77">
        <v>0</v>
      </c>
      <c r="C77">
        <v>0</v>
      </c>
      <c r="D77">
        <v>0</v>
      </c>
      <c r="F77" s="27">
        <f>IF(U6,IF(V2&lt;=1,"", IF(ISNA(C77),"",A77&amp; " - " &amp; C77)),"")</f>
        <v>0</v>
      </c>
      <c r="G77" s="27"/>
      <c r="H77" s="27"/>
      <c r="I77" s="27"/>
      <c r="J77" s="27"/>
      <c r="K77" s="27"/>
      <c r="L77" s="27"/>
      <c r="M77" s="27"/>
      <c r="N77" s="27"/>
      <c r="O77" s="27"/>
      <c r="P77" s="27"/>
    </row>
    <row r="78" spans="1:16" ht="48" customHeight="1">
      <c r="A78">
        <v>0</v>
      </c>
      <c r="B78">
        <v>0</v>
      </c>
      <c r="C78">
        <v>0</v>
      </c>
      <c r="D78">
        <v>0</v>
      </c>
      <c r="F78" s="27">
        <f>IF(U6,IF(V2&lt;=1,"", IF(ISNA(C78),"",A78&amp; " - " &amp; C78)),"")</f>
        <v>0</v>
      </c>
      <c r="G78" s="27"/>
      <c r="H78" s="27"/>
      <c r="I78" s="27"/>
      <c r="J78" s="27"/>
      <c r="K78" s="27"/>
      <c r="L78" s="27"/>
      <c r="M78" s="27"/>
      <c r="N78" s="27"/>
      <c r="O78" s="27"/>
      <c r="P78" s="27"/>
    </row>
    <row r="79" spans="1:16" ht="48" customHeight="1">
      <c r="A79">
        <v>0</v>
      </c>
      <c r="B79">
        <v>0</v>
      </c>
      <c r="C79">
        <v>0</v>
      </c>
      <c r="D79">
        <v>0</v>
      </c>
      <c r="F79" s="27">
        <f>IF(U6,IF(V2&lt;=1,"", IF(ISNA(C79),"",A79&amp; " - " &amp; C79)),"")</f>
        <v>0</v>
      </c>
      <c r="G79" s="27"/>
      <c r="H79" s="27"/>
      <c r="I79" s="27"/>
      <c r="J79" s="27"/>
      <c r="K79" s="27"/>
      <c r="L79" s="27"/>
      <c r="M79" s="27"/>
      <c r="N79" s="27"/>
      <c r="O79" s="27"/>
      <c r="P79" s="27"/>
    </row>
    <row r="80" spans="1:16" ht="48" customHeight="1">
      <c r="A80">
        <v>0</v>
      </c>
      <c r="B80">
        <v>0</v>
      </c>
      <c r="C80">
        <v>0</v>
      </c>
      <c r="D80">
        <v>0</v>
      </c>
      <c r="F80" s="27">
        <f>IF(U6,IF(V2&lt;=1,"", IF(ISNA(C80),"",A80&amp; " - " &amp; C80)),"")</f>
        <v>0</v>
      </c>
      <c r="G80" s="27"/>
      <c r="H80" s="27"/>
      <c r="I80" s="27"/>
      <c r="J80" s="27"/>
      <c r="K80" s="27"/>
      <c r="L80" s="27"/>
      <c r="M80" s="27"/>
      <c r="N80" s="27"/>
      <c r="O80" s="27"/>
      <c r="P80" s="27"/>
    </row>
    <row r="81" spans="1:16" ht="48" customHeight="1">
      <c r="A81">
        <v>0</v>
      </c>
      <c r="B81">
        <v>0</v>
      </c>
      <c r="C81">
        <v>0</v>
      </c>
      <c r="D81">
        <v>0</v>
      </c>
      <c r="F81" s="27">
        <f>IF(U6,IF(V2&lt;=1,"", IF(ISNA(C81),"",A81&amp; " - " &amp; C81)),"")</f>
        <v>0</v>
      </c>
      <c r="G81" s="27"/>
      <c r="H81" s="27"/>
      <c r="I81" s="27"/>
      <c r="J81" s="27"/>
      <c r="K81" s="27"/>
      <c r="L81" s="27"/>
      <c r="M81" s="27"/>
      <c r="N81" s="27"/>
      <c r="O81" s="27"/>
      <c r="P81" s="27"/>
    </row>
    <row r="82" spans="1:16" ht="48" customHeight="1">
      <c r="A82">
        <v>0</v>
      </c>
      <c r="B82">
        <v>0</v>
      </c>
      <c r="C82">
        <v>0</v>
      </c>
      <c r="D82">
        <v>0</v>
      </c>
      <c r="F82" s="27">
        <f>IF(U6,IF(V2&lt;=1,"", IF(ISNA(C82),"",A82&amp; " - " &amp; C82)),"")</f>
        <v>0</v>
      </c>
      <c r="G82" s="27"/>
      <c r="H82" s="27"/>
      <c r="I82" s="27"/>
      <c r="J82" s="27"/>
      <c r="K82" s="27"/>
      <c r="L82" s="27"/>
      <c r="M82" s="27"/>
      <c r="N82" s="27"/>
      <c r="O82" s="27"/>
      <c r="P82" s="27"/>
    </row>
    <row r="83" spans="1:16" ht="48" customHeight="1">
      <c r="A83">
        <v>0</v>
      </c>
      <c r="B83">
        <v>0</v>
      </c>
      <c r="C83">
        <v>0</v>
      </c>
      <c r="D83">
        <v>0</v>
      </c>
      <c r="F83" s="27">
        <f>IF(U6,IF(V2&lt;=1,"", IF(ISNA(C83),"",A83&amp; " - " &amp; C83)),"")</f>
        <v>0</v>
      </c>
      <c r="G83" s="27"/>
      <c r="H83" s="27"/>
      <c r="I83" s="27"/>
      <c r="J83" s="27"/>
      <c r="K83" s="27"/>
      <c r="L83" s="27"/>
      <c r="M83" s="27"/>
      <c r="N83" s="27"/>
      <c r="O83" s="27"/>
      <c r="P83" s="27"/>
    </row>
    <row r="84" spans="1:16" ht="48" customHeight="1">
      <c r="A84">
        <v>0</v>
      </c>
      <c r="B84">
        <v>0</v>
      </c>
      <c r="C84">
        <v>0</v>
      </c>
      <c r="D84">
        <v>0</v>
      </c>
      <c r="F84" s="27">
        <f>IF(U6,IF(V2&lt;=1,"", IF(ISNA(C84),"",A84&amp; " - " &amp; C84)),"")</f>
        <v>0</v>
      </c>
      <c r="G84" s="27"/>
      <c r="H84" s="27"/>
      <c r="I84" s="27"/>
      <c r="J84" s="27"/>
      <c r="K84" s="27"/>
      <c r="L84" s="27"/>
      <c r="M84" s="27"/>
      <c r="N84" s="27"/>
      <c r="O84" s="27"/>
      <c r="P84" s="27"/>
    </row>
    <row r="85" spans="1:16" ht="48" customHeight="1">
      <c r="A85">
        <v>0</v>
      </c>
      <c r="B85">
        <v>0</v>
      </c>
      <c r="C85">
        <v>0</v>
      </c>
      <c r="D85">
        <v>0</v>
      </c>
      <c r="F85" s="27">
        <f>IF(U6,IF(V2&lt;=1,"", IF(ISNA(C85),"",A85&amp; " - " &amp; C85)),"")</f>
        <v>0</v>
      </c>
      <c r="G85" s="27"/>
      <c r="H85" s="27"/>
      <c r="I85" s="27"/>
      <c r="J85" s="27"/>
      <c r="K85" s="27"/>
      <c r="L85" s="27"/>
      <c r="M85" s="27"/>
      <c r="N85" s="27"/>
      <c r="O85" s="27"/>
      <c r="P85" s="27"/>
    </row>
    <row r="86" spans="1:16" ht="48" customHeight="1">
      <c r="A86">
        <v>0</v>
      </c>
      <c r="B86">
        <v>0</v>
      </c>
      <c r="C86">
        <v>0</v>
      </c>
      <c r="D86">
        <v>0</v>
      </c>
      <c r="F86" s="27">
        <f>IF(U6,IF(V2&lt;=1,"", IF(ISNA(C86),"",A86&amp; " - " &amp; C86)),"")</f>
        <v>0</v>
      </c>
      <c r="G86" s="27"/>
      <c r="H86" s="27"/>
      <c r="I86" s="27"/>
      <c r="J86" s="27"/>
      <c r="K86" s="27"/>
      <c r="L86" s="27"/>
      <c r="M86" s="27"/>
      <c r="N86" s="27"/>
      <c r="O86" s="27"/>
      <c r="P86" s="27"/>
    </row>
    <row r="87" spans="1:16" ht="48" customHeight="1">
      <c r="A87">
        <v>0</v>
      </c>
      <c r="B87">
        <v>0</v>
      </c>
      <c r="C87">
        <v>0</v>
      </c>
      <c r="D87">
        <v>0</v>
      </c>
      <c r="F87" s="27">
        <f>IF(U6,IF(V2&lt;=1,"", IF(ISNA(C87),"",A87&amp; " - " &amp; C87)),"")</f>
        <v>0</v>
      </c>
      <c r="G87" s="27"/>
      <c r="H87" s="27"/>
      <c r="I87" s="27"/>
      <c r="J87" s="27"/>
      <c r="K87" s="27"/>
      <c r="L87" s="27"/>
      <c r="M87" s="27"/>
      <c r="N87" s="27"/>
      <c r="O87" s="27"/>
      <c r="P87" s="27"/>
    </row>
    <row r="88" spans="1:16" ht="48" customHeight="1">
      <c r="A88">
        <v>0</v>
      </c>
      <c r="B88">
        <v>0</v>
      </c>
      <c r="C88">
        <v>0</v>
      </c>
      <c r="D88">
        <v>0</v>
      </c>
      <c r="F88" s="27">
        <f>IF(U6,IF(V2&lt;=1,"", IF(ISNA(C88),"",A88&amp; " - " &amp; C88)),"")</f>
        <v>0</v>
      </c>
      <c r="G88" s="27"/>
      <c r="H88" s="27"/>
      <c r="I88" s="27"/>
      <c r="J88" s="27"/>
      <c r="K88" s="27"/>
      <c r="L88" s="27"/>
      <c r="M88" s="27"/>
      <c r="N88" s="27"/>
      <c r="O88" s="27"/>
      <c r="P88" s="27"/>
    </row>
    <row r="89" spans="1:16" ht="48" customHeight="1">
      <c r="A89">
        <v>0</v>
      </c>
      <c r="B89">
        <v>0</v>
      </c>
      <c r="C89">
        <v>0</v>
      </c>
      <c r="D89">
        <v>0</v>
      </c>
      <c r="F89" s="27">
        <f>IF(U6,IF(V2&lt;=1,"", IF(ISNA(C89),"",A89&amp; " - " &amp; C89)),"")</f>
        <v>0</v>
      </c>
      <c r="G89" s="27"/>
      <c r="H89" s="27"/>
      <c r="I89" s="27"/>
      <c r="J89" s="27"/>
      <c r="K89" s="27"/>
      <c r="L89" s="27"/>
      <c r="M89" s="27"/>
      <c r="N89" s="27"/>
      <c r="O89" s="27"/>
      <c r="P89" s="27"/>
    </row>
    <row r="90" spans="1:16" ht="48" customHeight="1">
      <c r="A90">
        <v>0</v>
      </c>
      <c r="B90">
        <v>0</v>
      </c>
      <c r="C90">
        <v>0</v>
      </c>
      <c r="D90">
        <v>0</v>
      </c>
      <c r="F90" s="27">
        <f>IF(U6,IF(V2&lt;=1,"", IF(ISNA(C90),"",A90&amp; " - " &amp; C90)),"")</f>
        <v>0</v>
      </c>
      <c r="G90" s="27"/>
      <c r="H90" s="27"/>
      <c r="I90" s="27"/>
      <c r="J90" s="27"/>
      <c r="K90" s="27"/>
      <c r="L90" s="27"/>
      <c r="M90" s="27"/>
      <c r="N90" s="27"/>
      <c r="O90" s="27"/>
      <c r="P90" s="27"/>
    </row>
    <row r="91" spans="1:16" ht="48" customHeight="1">
      <c r="A91">
        <v>0</v>
      </c>
      <c r="B91">
        <v>0</v>
      </c>
      <c r="C91">
        <v>0</v>
      </c>
      <c r="D91">
        <v>0</v>
      </c>
      <c r="F91" s="27">
        <f>IF(U6,IF(V2&lt;=1,"", IF(ISNA(C91),"",A91&amp; " - " &amp; C91)),"")</f>
        <v>0</v>
      </c>
      <c r="G91" s="27"/>
      <c r="H91" s="27"/>
      <c r="I91" s="27"/>
      <c r="J91" s="27"/>
      <c r="K91" s="27"/>
      <c r="L91" s="27"/>
      <c r="M91" s="27"/>
      <c r="N91" s="27"/>
      <c r="O91" s="27"/>
      <c r="P91" s="27"/>
    </row>
    <row r="92" spans="1:16" ht="48" customHeight="1">
      <c r="A92">
        <v>0</v>
      </c>
      <c r="B92">
        <v>0</v>
      </c>
      <c r="C92">
        <v>0</v>
      </c>
      <c r="D92">
        <v>0</v>
      </c>
      <c r="F92" s="27">
        <f>IF(U6,IF(V2&lt;=1,"", IF(ISNA(C92),"",A92&amp; " - " &amp; C92)),"")</f>
        <v>0</v>
      </c>
      <c r="G92" s="27"/>
      <c r="H92" s="27"/>
      <c r="I92" s="27"/>
      <c r="J92" s="27"/>
      <c r="K92" s="27"/>
      <c r="L92" s="27"/>
      <c r="M92" s="27"/>
      <c r="N92" s="27"/>
      <c r="O92" s="27"/>
      <c r="P92" s="27"/>
    </row>
    <row r="93" spans="1:16" ht="48" customHeight="1">
      <c r="A93">
        <v>0</v>
      </c>
      <c r="B93">
        <v>0</v>
      </c>
      <c r="C93">
        <v>0</v>
      </c>
      <c r="D93">
        <v>0</v>
      </c>
      <c r="F93" s="27">
        <f>IF(U6,IF(V2&lt;=1,"", IF(ISNA(C93),"",A93&amp; " - " &amp; C93)),"")</f>
        <v>0</v>
      </c>
      <c r="G93" s="27"/>
      <c r="H93" s="27"/>
      <c r="I93" s="27"/>
      <c r="J93" s="27"/>
      <c r="K93" s="27"/>
      <c r="L93" s="27"/>
      <c r="M93" s="27"/>
      <c r="N93" s="27"/>
      <c r="O93" s="27"/>
      <c r="P93" s="27"/>
    </row>
    <row r="94" spans="1:16" ht="48" customHeight="1">
      <c r="A94">
        <v>0</v>
      </c>
      <c r="B94">
        <v>0</v>
      </c>
      <c r="C94">
        <v>0</v>
      </c>
      <c r="D94">
        <v>0</v>
      </c>
      <c r="F94" s="27">
        <f>IF(U6,IF(V2&lt;=1,"", IF(ISNA(C94),"",A94&amp; " - " &amp; C94)),"")</f>
        <v>0</v>
      </c>
      <c r="G94" s="27"/>
      <c r="H94" s="27"/>
      <c r="I94" s="27"/>
      <c r="J94" s="27"/>
      <c r="K94" s="27"/>
      <c r="L94" s="27"/>
      <c r="M94" s="27"/>
      <c r="N94" s="27"/>
      <c r="O94" s="27"/>
      <c r="P94" s="27"/>
    </row>
    <row r="95" spans="1:16" ht="48" customHeight="1">
      <c r="A95">
        <v>0</v>
      </c>
      <c r="B95">
        <v>0</v>
      </c>
      <c r="C95">
        <v>0</v>
      </c>
      <c r="D95">
        <v>0</v>
      </c>
      <c r="F95" s="27">
        <f>IF(U6,IF(V2&lt;=1,"", IF(ISNA(C95),"",A95&amp; " - " &amp; C95)),"")</f>
        <v>0</v>
      </c>
      <c r="G95" s="27"/>
      <c r="H95" s="27"/>
      <c r="I95" s="27"/>
      <c r="J95" s="27"/>
      <c r="K95" s="27"/>
      <c r="L95" s="27"/>
      <c r="M95" s="27"/>
      <c r="N95" s="27"/>
      <c r="O95" s="27"/>
      <c r="P95" s="27"/>
    </row>
    <row r="96" spans="1:16" ht="48" customHeight="1">
      <c r="A96">
        <v>0</v>
      </c>
      <c r="B96">
        <v>0</v>
      </c>
      <c r="C96">
        <v>0</v>
      </c>
      <c r="D96">
        <v>0</v>
      </c>
      <c r="F96" s="27">
        <f>IF(U6,IF(V2&lt;=1,"", IF(ISNA(C96),"",A96&amp; " - " &amp; C96)),"")</f>
        <v>0</v>
      </c>
      <c r="G96" s="27"/>
      <c r="H96" s="27"/>
      <c r="I96" s="27"/>
      <c r="J96" s="27"/>
      <c r="K96" s="27"/>
      <c r="L96" s="27"/>
      <c r="M96" s="27"/>
      <c r="N96" s="27"/>
      <c r="O96" s="27"/>
      <c r="P96" s="27"/>
    </row>
    <row r="97" spans="1:16" ht="48" customHeight="1">
      <c r="A97">
        <v>0</v>
      </c>
      <c r="B97">
        <v>0</v>
      </c>
      <c r="C97">
        <v>0</v>
      </c>
      <c r="D97">
        <v>0</v>
      </c>
      <c r="F97" s="27">
        <f>IF(U6,IF(V2&lt;=1,"", IF(ISNA(C97),"",A97&amp; " - " &amp; C97)),"")</f>
        <v>0</v>
      </c>
      <c r="G97" s="27"/>
      <c r="H97" s="27"/>
      <c r="I97" s="27"/>
      <c r="J97" s="27"/>
      <c r="K97" s="27"/>
      <c r="L97" s="27"/>
      <c r="M97" s="27"/>
      <c r="N97" s="27"/>
      <c r="O97" s="27"/>
      <c r="P97" s="27"/>
    </row>
    <row r="98" spans="1:16" ht="48" customHeight="1">
      <c r="A98">
        <v>0</v>
      </c>
      <c r="B98">
        <v>0</v>
      </c>
      <c r="C98">
        <v>0</v>
      </c>
      <c r="D98">
        <v>0</v>
      </c>
      <c r="F98" s="27">
        <f>IF(U6,IF(V2&lt;=1,"", IF(ISNA(C98),"",A98&amp; " - " &amp; C98)),"")</f>
        <v>0</v>
      </c>
      <c r="G98" s="27"/>
      <c r="H98" s="27"/>
      <c r="I98" s="27"/>
      <c r="J98" s="27"/>
      <c r="K98" s="27"/>
      <c r="L98" s="27"/>
      <c r="M98" s="27"/>
      <c r="N98" s="27"/>
      <c r="O98" s="27"/>
      <c r="P98" s="27"/>
    </row>
    <row r="99" spans="1:16" ht="48" customHeight="1">
      <c r="A99">
        <v>0</v>
      </c>
      <c r="B99">
        <v>0</v>
      </c>
      <c r="C99">
        <v>0</v>
      </c>
      <c r="D99">
        <v>0</v>
      </c>
      <c r="F99" s="27">
        <f>IF(U6,IF(V2&lt;=1,"", IF(ISNA(C99),"",A99&amp; " - " &amp; C99)),"")</f>
        <v>0</v>
      </c>
      <c r="G99" s="27"/>
      <c r="H99" s="27"/>
      <c r="I99" s="27"/>
      <c r="J99" s="27"/>
      <c r="K99" s="27"/>
      <c r="L99" s="27"/>
      <c r="M99" s="27"/>
      <c r="N99" s="27"/>
      <c r="O99" s="27"/>
      <c r="P99" s="27"/>
    </row>
    <row r="100" spans="1:16" ht="48" customHeight="1">
      <c r="A100">
        <v>0</v>
      </c>
      <c r="B100">
        <v>0</v>
      </c>
      <c r="C100">
        <v>0</v>
      </c>
      <c r="D100">
        <v>0</v>
      </c>
      <c r="F100" s="27">
        <f>IF(U6,IF(V2&lt;=1,"", IF(ISNA(C100),"",A100&amp; " - " &amp; C100)),"")</f>
        <v>0</v>
      </c>
      <c r="G100" s="27"/>
      <c r="H100" s="27"/>
      <c r="I100" s="27"/>
      <c r="J100" s="27"/>
      <c r="K100" s="27"/>
      <c r="L100" s="27"/>
      <c r="M100" s="27"/>
      <c r="N100" s="27"/>
      <c r="O100" s="27"/>
      <c r="P100" s="27"/>
    </row>
    <row r="101" spans="1:16" ht="48" customHeight="1">
      <c r="A101">
        <v>0</v>
      </c>
      <c r="B101">
        <v>0</v>
      </c>
      <c r="C101">
        <v>0</v>
      </c>
      <c r="D101">
        <v>0</v>
      </c>
      <c r="F101" s="27">
        <f>IF(U6,IF(V2&lt;=1,"", IF(ISNA(C101),"",A101&amp; " - " &amp; C101)),"")</f>
        <v>0</v>
      </c>
      <c r="G101" s="27"/>
      <c r="H101" s="27"/>
      <c r="I101" s="27"/>
      <c r="J101" s="27"/>
      <c r="K101" s="27"/>
      <c r="L101" s="27"/>
      <c r="M101" s="27"/>
      <c r="N101" s="27"/>
      <c r="O101" s="27"/>
      <c r="P101" s="27"/>
    </row>
    <row r="102" spans="1:16" ht="48" customHeight="1">
      <c r="A102">
        <v>0</v>
      </c>
      <c r="B102">
        <v>0</v>
      </c>
      <c r="C102">
        <v>0</v>
      </c>
      <c r="D102">
        <v>0</v>
      </c>
      <c r="F102" s="27">
        <f>IF(U6,IF(V2&lt;=1,"", IF(ISNA(C102),"",A102&amp; " - " &amp; C102)),"")</f>
        <v>0</v>
      </c>
      <c r="G102" s="27"/>
      <c r="H102" s="27"/>
      <c r="I102" s="27"/>
      <c r="J102" s="27"/>
      <c r="K102" s="27"/>
      <c r="L102" s="27"/>
      <c r="M102" s="27"/>
      <c r="N102" s="27"/>
      <c r="O102" s="27"/>
      <c r="P102" s="27"/>
    </row>
    <row r="103" spans="1:16" ht="48" customHeight="1">
      <c r="A103">
        <v>0</v>
      </c>
      <c r="B103">
        <v>0</v>
      </c>
      <c r="C103">
        <v>0</v>
      </c>
      <c r="D103">
        <v>0</v>
      </c>
      <c r="F103" s="27">
        <f>IF(U6,IF(V2&lt;=1,"", IF(ISNA(C103),"",A103&amp; " - " &amp; C103)),"")</f>
        <v>0</v>
      </c>
      <c r="G103" s="27"/>
      <c r="H103" s="27"/>
      <c r="I103" s="27"/>
      <c r="J103" s="27"/>
      <c r="K103" s="27"/>
      <c r="L103" s="27"/>
      <c r="M103" s="27"/>
      <c r="N103" s="27"/>
      <c r="O103" s="27"/>
      <c r="P103" s="27"/>
    </row>
    <row r="104" spans="1:16" ht="48" customHeight="1">
      <c r="A104">
        <v>0</v>
      </c>
      <c r="B104">
        <v>0</v>
      </c>
      <c r="C104">
        <v>0</v>
      </c>
      <c r="D104">
        <v>0</v>
      </c>
      <c r="F104" s="27">
        <f>IF(U6,IF(V2&lt;=1,"", IF(ISNA(C104),"",A104&amp; " - " &amp; C104)),"")</f>
        <v>0</v>
      </c>
      <c r="G104" s="27"/>
      <c r="H104" s="27"/>
      <c r="I104" s="27"/>
      <c r="J104" s="27"/>
      <c r="K104" s="27"/>
      <c r="L104" s="27"/>
      <c r="M104" s="27"/>
      <c r="N104" s="27"/>
      <c r="O104" s="27"/>
      <c r="P104" s="27"/>
    </row>
    <row r="105" spans="1:16" ht="48" customHeight="1">
      <c r="A105">
        <v>0</v>
      </c>
      <c r="B105">
        <v>0</v>
      </c>
      <c r="C105">
        <v>0</v>
      </c>
      <c r="D105">
        <v>0</v>
      </c>
      <c r="F105" s="27">
        <f>IF(U6,IF(V2&lt;=1,"", IF(ISNA(C105),"",A105&amp; " - " &amp; C105)),"")</f>
        <v>0</v>
      </c>
      <c r="G105" s="27"/>
      <c r="H105" s="27"/>
      <c r="I105" s="27"/>
      <c r="J105" s="27"/>
      <c r="K105" s="27"/>
      <c r="L105" s="27"/>
      <c r="M105" s="27"/>
      <c r="N105" s="27"/>
      <c r="O105" s="27"/>
      <c r="P105" s="27"/>
    </row>
    <row r="106" spans="1:16" ht="48" customHeight="1">
      <c r="A106">
        <v>0</v>
      </c>
      <c r="B106">
        <v>0</v>
      </c>
      <c r="C106">
        <v>0</v>
      </c>
      <c r="D106">
        <v>0</v>
      </c>
      <c r="F106" s="27">
        <f>IF(U6,IF(V2&lt;=1,"", IF(ISNA(C106),"",A106&amp; " - " &amp; C106)),"")</f>
        <v>0</v>
      </c>
      <c r="G106" s="27"/>
      <c r="H106" s="27"/>
      <c r="I106" s="27"/>
      <c r="J106" s="27"/>
      <c r="K106" s="27"/>
      <c r="L106" s="27"/>
      <c r="M106" s="27"/>
      <c r="N106" s="27"/>
      <c r="O106" s="27"/>
      <c r="P106" s="27"/>
    </row>
    <row r="107" spans="1:16" ht="48" customHeight="1">
      <c r="A107">
        <v>0</v>
      </c>
      <c r="B107">
        <v>0</v>
      </c>
      <c r="C107">
        <v>0</v>
      </c>
      <c r="D107">
        <v>0</v>
      </c>
      <c r="F107" s="27">
        <f>IF(U6,IF(V2&lt;=1,"", IF(ISNA(C107),"",A107&amp; " - " &amp; C107)),"")</f>
        <v>0</v>
      </c>
      <c r="G107" s="27"/>
      <c r="H107" s="27"/>
      <c r="I107" s="27"/>
      <c r="J107" s="27"/>
      <c r="K107" s="27"/>
      <c r="L107" s="27"/>
      <c r="M107" s="27"/>
      <c r="N107" s="27"/>
      <c r="O107" s="27"/>
      <c r="P107" s="27"/>
    </row>
    <row r="108" spans="1:16" ht="48" customHeight="1">
      <c r="A108">
        <v>0</v>
      </c>
      <c r="B108">
        <v>0</v>
      </c>
      <c r="C108">
        <v>0</v>
      </c>
      <c r="D108">
        <v>0</v>
      </c>
      <c r="F108" s="27">
        <f>IF(U6,IF(V2&lt;=1,"", IF(ISNA(C108),"",A108&amp; " - " &amp; C108)),"")</f>
        <v>0</v>
      </c>
      <c r="G108" s="27"/>
      <c r="H108" s="27"/>
      <c r="I108" s="27"/>
      <c r="J108" s="27"/>
      <c r="K108" s="27"/>
      <c r="L108" s="27"/>
      <c r="M108" s="27"/>
      <c r="N108" s="27"/>
      <c r="O108" s="27"/>
      <c r="P108" s="27"/>
    </row>
    <row r="109" spans="1:16" ht="48" customHeight="1">
      <c r="A109">
        <v>0</v>
      </c>
      <c r="B109">
        <v>0</v>
      </c>
      <c r="C109">
        <v>0</v>
      </c>
      <c r="D109">
        <v>0</v>
      </c>
      <c r="F109" s="27">
        <f>IF(U6,IF(V2&lt;=1,"", IF(ISNA(C109),"",A109&amp; " - " &amp; C109)),"")</f>
        <v>0</v>
      </c>
      <c r="G109" s="27"/>
      <c r="H109" s="27"/>
      <c r="I109" s="27"/>
      <c r="J109" s="27"/>
      <c r="K109" s="27"/>
      <c r="L109" s="27"/>
      <c r="M109" s="27"/>
      <c r="N109" s="27"/>
      <c r="O109" s="27"/>
      <c r="P109" s="27"/>
    </row>
    <row r="110" spans="1:16" ht="48" customHeight="1">
      <c r="A110">
        <v>0</v>
      </c>
      <c r="B110">
        <v>0</v>
      </c>
      <c r="C110">
        <v>0</v>
      </c>
      <c r="D110">
        <v>0</v>
      </c>
      <c r="F110" s="27">
        <f>IF(U6,IF(V2&lt;=1,"", IF(ISNA(C110),"",A110&amp; " - " &amp; C110)),"")</f>
        <v>0</v>
      </c>
      <c r="G110" s="27"/>
      <c r="H110" s="27"/>
      <c r="I110" s="27"/>
      <c r="J110" s="27"/>
      <c r="K110" s="27"/>
      <c r="L110" s="27"/>
      <c r="M110" s="27"/>
      <c r="N110" s="27"/>
      <c r="O110" s="27"/>
      <c r="P110" s="27"/>
    </row>
    <row r="111" spans="1:16" ht="48" customHeight="1">
      <c r="A111">
        <v>0</v>
      </c>
      <c r="B111">
        <v>0</v>
      </c>
      <c r="C111">
        <v>0</v>
      </c>
      <c r="D111">
        <v>0</v>
      </c>
      <c r="F111" s="27">
        <f>IF(U6,IF(V2&lt;=1,"", IF(ISNA(C111),"",A111&amp; " - " &amp; C111)),"")</f>
        <v>0</v>
      </c>
      <c r="G111" s="27"/>
      <c r="H111" s="27"/>
      <c r="I111" s="27"/>
      <c r="J111" s="27"/>
      <c r="K111" s="27"/>
      <c r="L111" s="27"/>
      <c r="M111" s="27"/>
      <c r="N111" s="27"/>
      <c r="O111" s="27"/>
      <c r="P111" s="27"/>
    </row>
    <row r="112" spans="1:16" ht="48" customHeight="1">
      <c r="A112">
        <v>0</v>
      </c>
      <c r="B112">
        <v>0</v>
      </c>
      <c r="C112">
        <v>0</v>
      </c>
      <c r="D112">
        <v>0</v>
      </c>
      <c r="F112" s="27">
        <f>IF(U6,IF(V2&lt;=1,"", IF(ISNA(C112),"",A112&amp; " - " &amp; C112)),"")</f>
        <v>0</v>
      </c>
      <c r="G112" s="27"/>
      <c r="H112" s="27"/>
      <c r="I112" s="27"/>
      <c r="J112" s="27"/>
      <c r="K112" s="27"/>
      <c r="L112" s="27"/>
      <c r="M112" s="27"/>
      <c r="N112" s="27"/>
      <c r="O112" s="27"/>
      <c r="P112" s="27"/>
    </row>
    <row r="113" spans="1:16" ht="48" customHeight="1">
      <c r="A113">
        <v>0</v>
      </c>
      <c r="B113">
        <v>0</v>
      </c>
      <c r="C113">
        <v>0</v>
      </c>
      <c r="D113">
        <v>0</v>
      </c>
      <c r="F113" s="27">
        <f>IF(U6,IF(V2&lt;=1,"", IF(ISNA(C113),"",A113&amp; " - " &amp; C113)),"")</f>
        <v>0</v>
      </c>
      <c r="G113" s="27"/>
      <c r="H113" s="27"/>
      <c r="I113" s="27"/>
      <c r="J113" s="27"/>
      <c r="K113" s="27"/>
      <c r="L113" s="27"/>
      <c r="M113" s="27"/>
      <c r="N113" s="27"/>
      <c r="O113" s="27"/>
      <c r="P113" s="27"/>
    </row>
    <row r="114" spans="1:16" ht="48" customHeight="1">
      <c r="A114">
        <v>0</v>
      </c>
      <c r="B114">
        <v>0</v>
      </c>
      <c r="C114">
        <v>0</v>
      </c>
      <c r="D114">
        <v>0</v>
      </c>
      <c r="F114" s="27">
        <f>IF(U6,IF(V2&lt;=1,"", IF(ISNA(C114),"",A114&amp; " - " &amp; C114)),"")</f>
        <v>0</v>
      </c>
      <c r="G114" s="27"/>
      <c r="H114" s="27"/>
      <c r="I114" s="27"/>
      <c r="J114" s="27"/>
      <c r="K114" s="27"/>
      <c r="L114" s="27"/>
      <c r="M114" s="27"/>
      <c r="N114" s="27"/>
      <c r="O114" s="27"/>
      <c r="P114" s="27"/>
    </row>
    <row r="115" spans="1:16" ht="48" customHeight="1">
      <c r="A115">
        <v>0</v>
      </c>
      <c r="B115">
        <v>0</v>
      </c>
      <c r="C115">
        <v>0</v>
      </c>
      <c r="D115">
        <v>0</v>
      </c>
      <c r="F115" s="27">
        <f>IF(U6,IF(V2&lt;=1,"", IF(ISNA(C115),"",A115&amp; " - " &amp; C115)),"")</f>
        <v>0</v>
      </c>
      <c r="G115" s="27"/>
      <c r="H115" s="27"/>
      <c r="I115" s="27"/>
      <c r="J115" s="27"/>
      <c r="K115" s="27"/>
      <c r="L115" s="27"/>
      <c r="M115" s="27"/>
      <c r="N115" s="27"/>
      <c r="O115" s="27"/>
      <c r="P115" s="27"/>
    </row>
    <row r="116" spans="1:16" ht="48" customHeight="1">
      <c r="A116">
        <v>0</v>
      </c>
      <c r="B116">
        <v>0</v>
      </c>
      <c r="C116">
        <v>0</v>
      </c>
      <c r="D116">
        <v>0</v>
      </c>
      <c r="F116" s="27">
        <f>IF(U6,IF(V2&lt;=1,"", IF(ISNA(C116),"",A116&amp; " - " &amp; C116)),"")</f>
        <v>0</v>
      </c>
      <c r="G116" s="27"/>
      <c r="H116" s="27"/>
      <c r="I116" s="27"/>
      <c r="J116" s="27"/>
      <c r="K116" s="27"/>
      <c r="L116" s="27"/>
      <c r="M116" s="27"/>
      <c r="N116" s="27"/>
      <c r="O116" s="27"/>
      <c r="P116" s="27"/>
    </row>
    <row r="117" spans="1:16" ht="48" customHeight="1">
      <c r="A117">
        <v>0</v>
      </c>
      <c r="B117">
        <v>0</v>
      </c>
      <c r="C117">
        <v>0</v>
      </c>
      <c r="D117">
        <v>0</v>
      </c>
      <c r="F117" s="27">
        <f>IF(U6,IF(V2&lt;=1,"", IF(ISNA(C117),"",A117&amp; " - " &amp; C117)),"")</f>
        <v>0</v>
      </c>
      <c r="G117" s="27"/>
      <c r="H117" s="27"/>
      <c r="I117" s="27"/>
      <c r="J117" s="27"/>
      <c r="K117" s="27"/>
      <c r="L117" s="27"/>
      <c r="M117" s="27"/>
      <c r="N117" s="27"/>
      <c r="O117" s="27"/>
      <c r="P117" s="27"/>
    </row>
    <row r="118" spans="1:16" ht="48" customHeight="1">
      <c r="A118">
        <v>0</v>
      </c>
      <c r="B118">
        <v>0</v>
      </c>
      <c r="C118">
        <v>0</v>
      </c>
      <c r="D118">
        <v>0</v>
      </c>
      <c r="F118" s="27">
        <f>IF(U6,IF(V2&lt;=1,"", IF(ISNA(C118),"",A118&amp; " - " &amp; C118)),"")</f>
        <v>0</v>
      </c>
      <c r="G118" s="27"/>
      <c r="H118" s="27"/>
      <c r="I118" s="27"/>
      <c r="J118" s="27"/>
      <c r="K118" s="27"/>
      <c r="L118" s="27"/>
      <c r="M118" s="27"/>
      <c r="N118" s="27"/>
      <c r="O118" s="27"/>
      <c r="P118" s="27"/>
    </row>
    <row r="119" spans="1:16" ht="48" customHeight="1">
      <c r="A119">
        <v>0</v>
      </c>
      <c r="B119">
        <v>0</v>
      </c>
      <c r="C119">
        <v>0</v>
      </c>
      <c r="D119">
        <v>0</v>
      </c>
      <c r="F119" s="27">
        <f>IF(U6,IF(V2&lt;=1,"", IF(ISNA(C119),"",A119&amp; " - " &amp; C119)),"")</f>
        <v>0</v>
      </c>
      <c r="G119" s="27"/>
      <c r="H119" s="27"/>
      <c r="I119" s="27"/>
      <c r="J119" s="27"/>
      <c r="K119" s="27"/>
      <c r="L119" s="27"/>
      <c r="M119" s="27"/>
      <c r="N119" s="27"/>
      <c r="O119" s="27"/>
      <c r="P119" s="27"/>
    </row>
    <row r="120" spans="1:16" ht="48" customHeight="1">
      <c r="A120">
        <v>0</v>
      </c>
      <c r="B120">
        <v>0</v>
      </c>
      <c r="C120">
        <v>0</v>
      </c>
      <c r="D120">
        <v>0</v>
      </c>
      <c r="F120" s="27">
        <f>IF(U6,IF(V2&lt;=1,"", IF(ISNA(C120),"",A120&amp; " - " &amp; C120)),"")</f>
        <v>0</v>
      </c>
      <c r="G120" s="27"/>
      <c r="H120" s="27"/>
      <c r="I120" s="27"/>
      <c r="J120" s="27"/>
      <c r="K120" s="27"/>
      <c r="L120" s="27"/>
      <c r="M120" s="27"/>
      <c r="N120" s="27"/>
      <c r="O120" s="27"/>
      <c r="P120" s="27"/>
    </row>
    <row r="121" spans="1:16">
      <c r="A121">
        <v>0</v>
      </c>
      <c r="B121">
        <v>0</v>
      </c>
      <c r="C121">
        <v>0</v>
      </c>
      <c r="D121">
        <v>0</v>
      </c>
    </row>
    <row r="122" spans="1:16">
      <c r="A122">
        <v>0</v>
      </c>
      <c r="B122">
        <v>0</v>
      </c>
      <c r="C122">
        <v>0</v>
      </c>
      <c r="D122">
        <v>0</v>
      </c>
    </row>
    <row r="123" spans="1:16">
      <c r="A123">
        <v>0</v>
      </c>
      <c r="B123">
        <v>0</v>
      </c>
      <c r="C123">
        <v>0</v>
      </c>
      <c r="D123">
        <v>0</v>
      </c>
    </row>
    <row r="124" spans="1:16">
      <c r="A124">
        <v>0</v>
      </c>
      <c r="B124">
        <v>0</v>
      </c>
      <c r="C124">
        <v>0</v>
      </c>
      <c r="D124">
        <v>0</v>
      </c>
    </row>
    <row r="125" spans="1:16">
      <c r="A125">
        <v>0</v>
      </c>
      <c r="B125">
        <v>0</v>
      </c>
      <c r="C125">
        <v>0</v>
      </c>
      <c r="D125">
        <v>0</v>
      </c>
    </row>
    <row r="126" spans="1:16">
      <c r="A126">
        <v>0</v>
      </c>
      <c r="B126">
        <v>0</v>
      </c>
      <c r="C126">
        <v>0</v>
      </c>
      <c r="D126">
        <v>0</v>
      </c>
    </row>
    <row r="127" spans="1:16">
      <c r="A127">
        <v>0</v>
      </c>
      <c r="B127">
        <v>0</v>
      </c>
      <c r="C127">
        <v>0</v>
      </c>
      <c r="D127">
        <v>0</v>
      </c>
    </row>
    <row r="128" spans="1:16">
      <c r="A128">
        <v>0</v>
      </c>
      <c r="B128">
        <v>0</v>
      </c>
      <c r="C128">
        <v>0</v>
      </c>
      <c r="D128">
        <v>0</v>
      </c>
    </row>
    <row r="129" spans="1:4">
      <c r="A129">
        <v>0</v>
      </c>
      <c r="B129">
        <v>0</v>
      </c>
      <c r="C129">
        <v>0</v>
      </c>
      <c r="D129">
        <v>0</v>
      </c>
    </row>
    <row r="130" spans="1:4">
      <c r="A130">
        <v>0</v>
      </c>
      <c r="B130">
        <v>0</v>
      </c>
      <c r="C130">
        <v>0</v>
      </c>
      <c r="D130">
        <v>0</v>
      </c>
    </row>
    <row r="131" spans="1:4">
      <c r="A131">
        <v>0</v>
      </c>
      <c r="B131">
        <v>0</v>
      </c>
      <c r="C131">
        <v>0</v>
      </c>
      <c r="D131">
        <v>0</v>
      </c>
    </row>
    <row r="132" spans="1:4">
      <c r="A132">
        <v>0</v>
      </c>
      <c r="B132">
        <v>0</v>
      </c>
      <c r="C132">
        <v>0</v>
      </c>
      <c r="D132">
        <v>0</v>
      </c>
    </row>
    <row r="133" spans="1:4">
      <c r="A133">
        <v>0</v>
      </c>
      <c r="B133">
        <v>0</v>
      </c>
      <c r="C133">
        <v>0</v>
      </c>
      <c r="D133">
        <v>0</v>
      </c>
    </row>
    <row r="134" spans="1:4">
      <c r="A134">
        <v>0</v>
      </c>
      <c r="B134">
        <v>0</v>
      </c>
      <c r="C134">
        <v>0</v>
      </c>
      <c r="D134">
        <v>0</v>
      </c>
    </row>
    <row r="135" spans="1:4">
      <c r="A135">
        <v>0</v>
      </c>
      <c r="B135">
        <v>0</v>
      </c>
      <c r="C135">
        <v>0</v>
      </c>
      <c r="D135">
        <v>0</v>
      </c>
    </row>
    <row r="136" spans="1:4">
      <c r="A136">
        <v>0</v>
      </c>
      <c r="B136">
        <v>0</v>
      </c>
      <c r="C136">
        <v>0</v>
      </c>
      <c r="D136">
        <v>0</v>
      </c>
    </row>
    <row r="137" spans="1:4">
      <c r="A137">
        <v>0</v>
      </c>
      <c r="B137">
        <v>0</v>
      </c>
      <c r="C137">
        <v>0</v>
      </c>
      <c r="D137">
        <v>0</v>
      </c>
    </row>
    <row r="138" spans="1:4">
      <c r="A138">
        <v>0</v>
      </c>
      <c r="B138">
        <v>0</v>
      </c>
      <c r="C138">
        <v>0</v>
      </c>
      <c r="D138">
        <v>0</v>
      </c>
    </row>
    <row r="139" spans="1:4">
      <c r="A139">
        <v>0</v>
      </c>
      <c r="B139">
        <v>0</v>
      </c>
      <c r="C139">
        <v>0</v>
      </c>
      <c r="D139">
        <v>0</v>
      </c>
    </row>
    <row r="140" spans="1:4">
      <c r="A140">
        <v>0</v>
      </c>
      <c r="B140">
        <v>0</v>
      </c>
      <c r="C140">
        <v>0</v>
      </c>
      <c r="D140">
        <v>0</v>
      </c>
    </row>
    <row r="141" spans="1:4">
      <c r="A141">
        <v>0</v>
      </c>
      <c r="B141">
        <v>0</v>
      </c>
      <c r="C141">
        <v>0</v>
      </c>
      <c r="D141">
        <v>0</v>
      </c>
    </row>
    <row r="142" spans="1:4">
      <c r="A142">
        <v>0</v>
      </c>
      <c r="B142">
        <v>0</v>
      </c>
      <c r="C142">
        <v>0</v>
      </c>
      <c r="D142">
        <v>0</v>
      </c>
    </row>
    <row r="143" spans="1:4">
      <c r="A143">
        <v>0</v>
      </c>
      <c r="B143">
        <v>0</v>
      </c>
      <c r="C143">
        <v>0</v>
      </c>
      <c r="D143">
        <v>0</v>
      </c>
    </row>
    <row r="144" spans="1:4">
      <c r="A144">
        <v>0</v>
      </c>
      <c r="B144">
        <v>0</v>
      </c>
      <c r="C144">
        <v>0</v>
      </c>
      <c r="D144">
        <v>0</v>
      </c>
    </row>
    <row r="145" spans="1:4">
      <c r="A145">
        <v>0</v>
      </c>
      <c r="B145">
        <v>0</v>
      </c>
      <c r="C145">
        <v>0</v>
      </c>
      <c r="D145">
        <v>0</v>
      </c>
    </row>
    <row r="146" spans="1:4">
      <c r="A146">
        <v>0</v>
      </c>
      <c r="B146">
        <v>0</v>
      </c>
      <c r="C146">
        <v>0</v>
      </c>
      <c r="D146">
        <v>0</v>
      </c>
    </row>
    <row r="147" spans="1:4">
      <c r="A147">
        <v>0</v>
      </c>
      <c r="B147">
        <v>0</v>
      </c>
      <c r="C147">
        <v>0</v>
      </c>
      <c r="D147">
        <v>0</v>
      </c>
    </row>
    <row r="148" spans="1:4">
      <c r="A148">
        <v>0</v>
      </c>
      <c r="B148">
        <v>0</v>
      </c>
      <c r="C148">
        <v>0</v>
      </c>
      <c r="D148">
        <v>0</v>
      </c>
    </row>
    <row r="149" spans="1:4">
      <c r="A149">
        <v>0</v>
      </c>
      <c r="B149">
        <v>0</v>
      </c>
      <c r="C149">
        <v>0</v>
      </c>
      <c r="D149">
        <v>0</v>
      </c>
    </row>
    <row r="150" spans="1:4">
      <c r="A150">
        <v>0</v>
      </c>
      <c r="B150">
        <v>0</v>
      </c>
      <c r="C150">
        <v>0</v>
      </c>
      <c r="D150">
        <v>0</v>
      </c>
    </row>
    <row r="151" spans="1:4">
      <c r="A151">
        <v>0</v>
      </c>
      <c r="B151">
        <v>0</v>
      </c>
      <c r="C151">
        <v>0</v>
      </c>
      <c r="D151">
        <v>0</v>
      </c>
    </row>
    <row r="152" spans="1:4">
      <c r="A152">
        <v>0</v>
      </c>
      <c r="B152">
        <v>0</v>
      </c>
      <c r="C152">
        <v>0</v>
      </c>
      <c r="D152">
        <v>0</v>
      </c>
    </row>
    <row r="153" spans="1:4">
      <c r="A153">
        <v>0</v>
      </c>
      <c r="B153">
        <v>0</v>
      </c>
      <c r="C153">
        <v>0</v>
      </c>
      <c r="D153">
        <v>0</v>
      </c>
    </row>
    <row r="154" spans="1:4">
      <c r="A154">
        <v>0</v>
      </c>
      <c r="B154">
        <v>0</v>
      </c>
      <c r="C154">
        <v>0</v>
      </c>
      <c r="D154">
        <v>0</v>
      </c>
    </row>
    <row r="155" spans="1:4">
      <c r="A155">
        <v>0</v>
      </c>
      <c r="B155">
        <v>0</v>
      </c>
      <c r="C155">
        <v>0</v>
      </c>
      <c r="D155">
        <v>0</v>
      </c>
    </row>
    <row r="156" spans="1:4">
      <c r="A156">
        <v>0</v>
      </c>
      <c r="B156">
        <v>0</v>
      </c>
      <c r="C156">
        <v>0</v>
      </c>
      <c r="D156">
        <v>0</v>
      </c>
    </row>
    <row r="157" spans="1:4">
      <c r="A157">
        <v>0</v>
      </c>
      <c r="B157">
        <v>0</v>
      </c>
      <c r="C157">
        <v>0</v>
      </c>
      <c r="D157">
        <v>0</v>
      </c>
    </row>
    <row r="158" spans="1:4">
      <c r="A158">
        <v>0</v>
      </c>
      <c r="B158">
        <v>0</v>
      </c>
      <c r="C158">
        <v>0</v>
      </c>
      <c r="D158">
        <v>0</v>
      </c>
    </row>
    <row r="159" spans="1:4">
      <c r="A159">
        <v>0</v>
      </c>
      <c r="B159">
        <v>0</v>
      </c>
      <c r="C159">
        <v>0</v>
      </c>
      <c r="D159">
        <v>0</v>
      </c>
    </row>
    <row r="160" spans="1:4">
      <c r="A160">
        <v>0</v>
      </c>
      <c r="B160">
        <v>0</v>
      </c>
      <c r="C160">
        <v>0</v>
      </c>
      <c r="D160">
        <v>0</v>
      </c>
    </row>
    <row r="161" spans="1:4">
      <c r="A161">
        <v>0</v>
      </c>
      <c r="B161">
        <v>0</v>
      </c>
      <c r="C161">
        <v>0</v>
      </c>
      <c r="D161">
        <v>0</v>
      </c>
    </row>
    <row r="162" spans="1:4">
      <c r="A162">
        <v>0</v>
      </c>
      <c r="B162">
        <v>0</v>
      </c>
      <c r="C162">
        <v>0</v>
      </c>
      <c r="D162">
        <v>0</v>
      </c>
    </row>
    <row r="163" spans="1:4">
      <c r="A163">
        <v>0</v>
      </c>
      <c r="B163">
        <v>0</v>
      </c>
      <c r="C163">
        <v>0</v>
      </c>
      <c r="D163">
        <v>0</v>
      </c>
    </row>
    <row r="164" spans="1:4">
      <c r="A164">
        <v>0</v>
      </c>
      <c r="B164">
        <v>0</v>
      </c>
      <c r="C164">
        <v>0</v>
      </c>
      <c r="D164">
        <v>0</v>
      </c>
    </row>
    <row r="165" spans="1:4">
      <c r="A165">
        <v>0</v>
      </c>
      <c r="B165">
        <v>0</v>
      </c>
      <c r="C165">
        <v>0</v>
      </c>
      <c r="D165">
        <v>0</v>
      </c>
    </row>
    <row r="166" spans="1:4">
      <c r="A166">
        <v>0</v>
      </c>
      <c r="B166">
        <v>0</v>
      </c>
      <c r="C166">
        <v>0</v>
      </c>
      <c r="D166">
        <v>0</v>
      </c>
    </row>
    <row r="167" spans="1:4">
      <c r="A167">
        <v>0</v>
      </c>
      <c r="B167">
        <v>0</v>
      </c>
      <c r="C167">
        <v>0</v>
      </c>
      <c r="D167">
        <v>0</v>
      </c>
    </row>
    <row r="168" spans="1:4">
      <c r="A168">
        <v>0</v>
      </c>
      <c r="B168">
        <v>0</v>
      </c>
      <c r="C168">
        <v>0</v>
      </c>
      <c r="D168">
        <v>0</v>
      </c>
    </row>
    <row r="169" spans="1:4">
      <c r="A169">
        <v>0</v>
      </c>
      <c r="B169">
        <v>0</v>
      </c>
      <c r="C169">
        <v>0</v>
      </c>
      <c r="D169">
        <v>0</v>
      </c>
    </row>
    <row r="170" spans="1:4">
      <c r="A170">
        <v>0</v>
      </c>
      <c r="B170">
        <v>0</v>
      </c>
      <c r="C170">
        <v>0</v>
      </c>
      <c r="D170">
        <v>0</v>
      </c>
    </row>
    <row r="171" spans="1:4">
      <c r="A171">
        <v>0</v>
      </c>
      <c r="B171">
        <v>0</v>
      </c>
      <c r="C171">
        <v>0</v>
      </c>
      <c r="D171">
        <v>0</v>
      </c>
    </row>
    <row r="172" spans="1:4">
      <c r="A172">
        <v>0</v>
      </c>
      <c r="B172">
        <v>0</v>
      </c>
      <c r="C172">
        <v>0</v>
      </c>
      <c r="D172">
        <v>0</v>
      </c>
    </row>
    <row r="173" spans="1:4">
      <c r="A173">
        <v>0</v>
      </c>
      <c r="B173">
        <v>0</v>
      </c>
      <c r="C173">
        <v>0</v>
      </c>
      <c r="D173">
        <v>0</v>
      </c>
    </row>
    <row r="174" spans="1:4">
      <c r="A174">
        <v>0</v>
      </c>
      <c r="B174">
        <v>0</v>
      </c>
      <c r="C174">
        <v>0</v>
      </c>
      <c r="D174">
        <v>0</v>
      </c>
    </row>
    <row r="175" spans="1:4">
      <c r="A175">
        <v>0</v>
      </c>
      <c r="B175">
        <v>0</v>
      </c>
      <c r="C175">
        <v>0</v>
      </c>
      <c r="D175">
        <v>0</v>
      </c>
    </row>
    <row r="176" spans="1:4">
      <c r="A176">
        <v>0</v>
      </c>
      <c r="B176">
        <v>0</v>
      </c>
      <c r="C176">
        <v>0</v>
      </c>
      <c r="D176">
        <v>0</v>
      </c>
    </row>
    <row r="177" spans="1:4">
      <c r="A177">
        <v>0</v>
      </c>
      <c r="B177">
        <v>0</v>
      </c>
      <c r="C177">
        <v>0</v>
      </c>
      <c r="D177">
        <v>0</v>
      </c>
    </row>
    <row r="178" spans="1:4">
      <c r="A178">
        <v>0</v>
      </c>
      <c r="B178">
        <v>0</v>
      </c>
      <c r="C178">
        <v>0</v>
      </c>
      <c r="D178">
        <v>0</v>
      </c>
    </row>
    <row r="179" spans="1:4">
      <c r="A179">
        <v>0</v>
      </c>
      <c r="B179">
        <v>0</v>
      </c>
      <c r="C179">
        <v>0</v>
      </c>
      <c r="D179">
        <v>0</v>
      </c>
    </row>
    <row r="180" spans="1:4">
      <c r="A180">
        <v>0</v>
      </c>
      <c r="B180">
        <v>0</v>
      </c>
      <c r="C180">
        <v>0</v>
      </c>
      <c r="D180">
        <v>0</v>
      </c>
    </row>
    <row r="181" spans="1:4">
      <c r="A181">
        <v>0</v>
      </c>
      <c r="B181">
        <v>0</v>
      </c>
      <c r="C181">
        <v>0</v>
      </c>
      <c r="D181">
        <v>0</v>
      </c>
    </row>
    <row r="182" spans="1:4">
      <c r="A182">
        <v>0</v>
      </c>
      <c r="B182">
        <v>0</v>
      </c>
      <c r="C182">
        <v>0</v>
      </c>
      <c r="D182">
        <v>0</v>
      </c>
    </row>
    <row r="183" spans="1:4">
      <c r="A183">
        <v>0</v>
      </c>
      <c r="B183">
        <v>0</v>
      </c>
      <c r="C183">
        <v>0</v>
      </c>
      <c r="D183">
        <v>0</v>
      </c>
    </row>
    <row r="184" spans="1:4">
      <c r="A184">
        <v>0</v>
      </c>
      <c r="B184">
        <v>0</v>
      </c>
      <c r="C184">
        <v>0</v>
      </c>
      <c r="D184">
        <v>0</v>
      </c>
    </row>
    <row r="185" spans="1:4">
      <c r="A185">
        <v>0</v>
      </c>
      <c r="B185">
        <v>0</v>
      </c>
      <c r="C185">
        <v>0</v>
      </c>
      <c r="D185">
        <v>0</v>
      </c>
    </row>
    <row r="186" spans="1:4">
      <c r="A186">
        <v>0</v>
      </c>
      <c r="B186">
        <v>0</v>
      </c>
      <c r="C186">
        <v>0</v>
      </c>
      <c r="D186">
        <v>0</v>
      </c>
    </row>
    <row r="187" spans="1:4">
      <c r="A187">
        <v>0</v>
      </c>
      <c r="B187">
        <v>0</v>
      </c>
      <c r="C187">
        <v>0</v>
      </c>
      <c r="D187">
        <v>0</v>
      </c>
    </row>
    <row r="188" spans="1:4">
      <c r="A188">
        <v>0</v>
      </c>
      <c r="B188">
        <v>0</v>
      </c>
      <c r="C188">
        <v>0</v>
      </c>
      <c r="D188">
        <v>0</v>
      </c>
    </row>
    <row r="189" spans="1:4">
      <c r="A189">
        <v>0</v>
      </c>
      <c r="B189">
        <v>0</v>
      </c>
      <c r="C189">
        <v>0</v>
      </c>
      <c r="D189">
        <v>0</v>
      </c>
    </row>
    <row r="190" spans="1:4">
      <c r="A190">
        <v>0</v>
      </c>
      <c r="B190">
        <v>0</v>
      </c>
      <c r="C190">
        <v>0</v>
      </c>
      <c r="D190">
        <v>0</v>
      </c>
    </row>
    <row r="191" spans="1:4">
      <c r="A191">
        <v>0</v>
      </c>
      <c r="B191">
        <v>0</v>
      </c>
      <c r="C191">
        <v>0</v>
      </c>
      <c r="D191">
        <v>0</v>
      </c>
    </row>
    <row r="192" spans="1:4">
      <c r="A192">
        <v>0</v>
      </c>
      <c r="B192">
        <v>0</v>
      </c>
      <c r="C192">
        <v>0</v>
      </c>
      <c r="D192">
        <v>0</v>
      </c>
    </row>
    <row r="193" spans="1:4">
      <c r="A193">
        <v>0</v>
      </c>
      <c r="B193">
        <v>0</v>
      </c>
      <c r="C193">
        <v>0</v>
      </c>
      <c r="D193">
        <v>0</v>
      </c>
    </row>
    <row r="194" spans="1:4">
      <c r="A194">
        <v>0</v>
      </c>
      <c r="B194">
        <v>0</v>
      </c>
      <c r="C194">
        <v>0</v>
      </c>
      <c r="D194">
        <v>0</v>
      </c>
    </row>
    <row r="195" spans="1:4">
      <c r="A195">
        <v>0</v>
      </c>
      <c r="B195">
        <v>0</v>
      </c>
      <c r="C195">
        <v>0</v>
      </c>
      <c r="D195">
        <v>0</v>
      </c>
    </row>
    <row r="196" spans="1:4">
      <c r="A196">
        <v>0</v>
      </c>
      <c r="B196">
        <v>0</v>
      </c>
      <c r="C196">
        <v>0</v>
      </c>
      <c r="D196">
        <v>0</v>
      </c>
    </row>
    <row r="197" spans="1:4">
      <c r="A197">
        <v>0</v>
      </c>
      <c r="B197">
        <v>0</v>
      </c>
      <c r="C197">
        <v>0</v>
      </c>
      <c r="D197">
        <v>0</v>
      </c>
    </row>
    <row r="198" spans="1:4">
      <c r="A198">
        <v>0</v>
      </c>
      <c r="B198">
        <v>0</v>
      </c>
      <c r="C198">
        <v>0</v>
      </c>
      <c r="D198">
        <v>0</v>
      </c>
    </row>
    <row r="199" spans="1:4">
      <c r="A199">
        <v>0</v>
      </c>
      <c r="B199">
        <v>0</v>
      </c>
      <c r="C199">
        <v>0</v>
      </c>
      <c r="D199">
        <v>0</v>
      </c>
    </row>
    <row r="200" spans="1:4">
      <c r="A200">
        <v>0</v>
      </c>
      <c r="B200">
        <v>0</v>
      </c>
      <c r="C200">
        <v>0</v>
      </c>
      <c r="D200">
        <v>0</v>
      </c>
    </row>
    <row r="201" spans="1:4">
      <c r="A201">
        <v>0</v>
      </c>
      <c r="B201">
        <v>0</v>
      </c>
      <c r="C201">
        <v>0</v>
      </c>
      <c r="D201">
        <v>0</v>
      </c>
    </row>
    <row r="202" spans="1:4">
      <c r="A202">
        <v>0</v>
      </c>
      <c r="B202">
        <v>0</v>
      </c>
      <c r="C202">
        <v>0</v>
      </c>
      <c r="D202">
        <v>0</v>
      </c>
    </row>
    <row r="203" spans="1:4">
      <c r="A203">
        <v>0</v>
      </c>
      <c r="B203">
        <v>0</v>
      </c>
      <c r="C203">
        <v>0</v>
      </c>
      <c r="D203">
        <v>0</v>
      </c>
    </row>
    <row r="204" spans="1:4">
      <c r="A204">
        <v>0</v>
      </c>
      <c r="B204">
        <v>0</v>
      </c>
      <c r="C204">
        <v>0</v>
      </c>
      <c r="D204">
        <v>0</v>
      </c>
    </row>
    <row r="205" spans="1:4">
      <c r="A205">
        <v>0</v>
      </c>
      <c r="B205">
        <v>0</v>
      </c>
      <c r="C205">
        <v>0</v>
      </c>
      <c r="D205">
        <v>0</v>
      </c>
    </row>
    <row r="206" spans="1:4">
      <c r="A206">
        <v>0</v>
      </c>
      <c r="B206">
        <v>0</v>
      </c>
      <c r="C206">
        <v>0</v>
      </c>
      <c r="D206">
        <v>0</v>
      </c>
    </row>
    <row r="207" spans="1:4">
      <c r="A207">
        <v>0</v>
      </c>
      <c r="B207">
        <v>0</v>
      </c>
      <c r="C207">
        <v>0</v>
      </c>
      <c r="D207">
        <v>0</v>
      </c>
    </row>
    <row r="208" spans="1:4">
      <c r="A208">
        <v>0</v>
      </c>
      <c r="B208">
        <v>0</v>
      </c>
      <c r="C208">
        <v>0</v>
      </c>
      <c r="D208">
        <v>0</v>
      </c>
    </row>
    <row r="209" spans="1:4">
      <c r="A209">
        <v>0</v>
      </c>
      <c r="B209">
        <v>0</v>
      </c>
      <c r="C209">
        <v>0</v>
      </c>
      <c r="D209">
        <v>0</v>
      </c>
    </row>
    <row r="210" spans="1:4">
      <c r="A210">
        <v>0</v>
      </c>
      <c r="B210">
        <v>0</v>
      </c>
      <c r="C210">
        <v>0</v>
      </c>
      <c r="D210">
        <v>0</v>
      </c>
    </row>
    <row r="211" spans="1:4">
      <c r="A211">
        <v>0</v>
      </c>
      <c r="B211">
        <v>0</v>
      </c>
      <c r="C211">
        <v>0</v>
      </c>
      <c r="D211">
        <v>0</v>
      </c>
    </row>
    <row r="212" spans="1:4">
      <c r="A212">
        <v>0</v>
      </c>
      <c r="B212">
        <v>0</v>
      </c>
      <c r="C212">
        <v>0</v>
      </c>
      <c r="D212">
        <v>0</v>
      </c>
    </row>
    <row r="213" spans="1:4">
      <c r="A213">
        <v>0</v>
      </c>
      <c r="B213">
        <v>0</v>
      </c>
      <c r="C213">
        <v>0</v>
      </c>
      <c r="D213">
        <v>0</v>
      </c>
    </row>
    <row r="214" spans="1:4">
      <c r="A214">
        <v>0</v>
      </c>
      <c r="B214">
        <v>0</v>
      </c>
      <c r="C214">
        <v>0</v>
      </c>
      <c r="D214">
        <v>0</v>
      </c>
    </row>
    <row r="215" spans="1:4">
      <c r="A215">
        <v>0</v>
      </c>
      <c r="B215">
        <v>0</v>
      </c>
      <c r="C215">
        <v>0</v>
      </c>
      <c r="D215">
        <v>0</v>
      </c>
    </row>
    <row r="216" spans="1:4">
      <c r="A216">
        <v>0</v>
      </c>
      <c r="B216">
        <v>0</v>
      </c>
      <c r="C216">
        <v>0</v>
      </c>
      <c r="D216">
        <v>0</v>
      </c>
    </row>
    <row r="217" spans="1:4">
      <c r="A217">
        <v>0</v>
      </c>
      <c r="B217">
        <v>0</v>
      </c>
      <c r="C217">
        <v>0</v>
      </c>
      <c r="D217">
        <v>0</v>
      </c>
    </row>
    <row r="218" spans="1:4">
      <c r="A218">
        <v>0</v>
      </c>
      <c r="B218">
        <v>0</v>
      </c>
      <c r="C218">
        <v>0</v>
      </c>
      <c r="D218">
        <v>0</v>
      </c>
    </row>
    <row r="219" spans="1:4">
      <c r="A219">
        <v>0</v>
      </c>
      <c r="B219">
        <v>0</v>
      </c>
      <c r="C219">
        <v>0</v>
      </c>
      <c r="D219">
        <v>0</v>
      </c>
    </row>
    <row r="220" spans="1:4">
      <c r="A220">
        <v>0</v>
      </c>
      <c r="B220">
        <v>0</v>
      </c>
      <c r="C220">
        <v>0</v>
      </c>
      <c r="D220">
        <v>0</v>
      </c>
    </row>
    <row r="221" spans="1:4">
      <c r="A221">
        <v>0</v>
      </c>
      <c r="B221">
        <v>0</v>
      </c>
      <c r="C221">
        <v>0</v>
      </c>
      <c r="D221">
        <v>0</v>
      </c>
    </row>
    <row r="222" spans="1:4">
      <c r="A222">
        <v>0</v>
      </c>
      <c r="B222">
        <v>0</v>
      </c>
      <c r="C222">
        <v>0</v>
      </c>
      <c r="D222">
        <v>0</v>
      </c>
    </row>
    <row r="223" spans="1:4">
      <c r="A223">
        <v>0</v>
      </c>
      <c r="B223">
        <v>0</v>
      </c>
      <c r="C223">
        <v>0</v>
      </c>
      <c r="D223">
        <v>0</v>
      </c>
    </row>
    <row r="224" spans="1:4">
      <c r="A224">
        <v>0</v>
      </c>
      <c r="B224">
        <v>0</v>
      </c>
      <c r="C224">
        <v>0</v>
      </c>
      <c r="D224">
        <v>0</v>
      </c>
    </row>
    <row r="225" spans="1:4">
      <c r="A225">
        <v>0</v>
      </c>
      <c r="B225">
        <v>0</v>
      </c>
      <c r="C225">
        <v>0</v>
      </c>
      <c r="D225">
        <v>0</v>
      </c>
    </row>
    <row r="226" spans="1:4">
      <c r="A226">
        <v>0</v>
      </c>
      <c r="B226">
        <v>0</v>
      </c>
      <c r="C226">
        <v>0</v>
      </c>
      <c r="D226">
        <v>0</v>
      </c>
    </row>
    <row r="227" spans="1:4">
      <c r="A227">
        <v>0</v>
      </c>
      <c r="B227">
        <v>0</v>
      </c>
      <c r="C227">
        <v>0</v>
      </c>
      <c r="D227">
        <v>0</v>
      </c>
    </row>
    <row r="228" spans="1:4">
      <c r="A228">
        <v>0</v>
      </c>
      <c r="B228">
        <v>0</v>
      </c>
      <c r="C228">
        <v>0</v>
      </c>
      <c r="D228">
        <v>0</v>
      </c>
    </row>
    <row r="229" spans="1:4">
      <c r="A229">
        <v>0</v>
      </c>
      <c r="B229">
        <v>0</v>
      </c>
      <c r="C229">
        <v>0</v>
      </c>
      <c r="D229">
        <v>0</v>
      </c>
    </row>
    <row r="230" spans="1:4">
      <c r="A230">
        <v>0</v>
      </c>
      <c r="B230">
        <v>0</v>
      </c>
      <c r="C230">
        <v>0</v>
      </c>
      <c r="D230">
        <v>0</v>
      </c>
    </row>
    <row r="231" spans="1:4">
      <c r="A231">
        <v>0</v>
      </c>
      <c r="B231">
        <v>0</v>
      </c>
      <c r="C231">
        <v>0</v>
      </c>
      <c r="D231">
        <v>0</v>
      </c>
    </row>
    <row r="232" spans="1:4">
      <c r="A232">
        <v>0</v>
      </c>
      <c r="B232">
        <v>0</v>
      </c>
      <c r="C232">
        <v>0</v>
      </c>
      <c r="D232">
        <v>0</v>
      </c>
    </row>
    <row r="233" spans="1:4">
      <c r="A233">
        <v>0</v>
      </c>
      <c r="B233">
        <v>0</v>
      </c>
      <c r="C233">
        <v>0</v>
      </c>
      <c r="D233">
        <v>0</v>
      </c>
    </row>
    <row r="234" spans="1:4">
      <c r="A234">
        <v>0</v>
      </c>
      <c r="B234">
        <v>0</v>
      </c>
      <c r="C234">
        <v>0</v>
      </c>
      <c r="D234">
        <v>0</v>
      </c>
    </row>
    <row r="235" spans="1:4">
      <c r="A235">
        <v>0</v>
      </c>
      <c r="B235">
        <v>0</v>
      </c>
      <c r="C235">
        <v>0</v>
      </c>
      <c r="D235">
        <v>0</v>
      </c>
    </row>
    <row r="236" spans="1:4">
      <c r="A236">
        <v>0</v>
      </c>
      <c r="B236">
        <v>0</v>
      </c>
      <c r="C236">
        <v>0</v>
      </c>
      <c r="D236">
        <v>0</v>
      </c>
    </row>
    <row r="237" spans="1:4">
      <c r="A237">
        <v>0</v>
      </c>
      <c r="B237">
        <v>0</v>
      </c>
      <c r="C237">
        <v>0</v>
      </c>
      <c r="D237">
        <v>0</v>
      </c>
    </row>
    <row r="238" spans="1:4">
      <c r="A238">
        <v>0</v>
      </c>
      <c r="B238">
        <v>0</v>
      </c>
      <c r="C238">
        <v>0</v>
      </c>
      <c r="D238">
        <v>0</v>
      </c>
    </row>
    <row r="239" spans="1:4">
      <c r="A239">
        <v>0</v>
      </c>
      <c r="B239">
        <v>0</v>
      </c>
      <c r="C239">
        <v>0</v>
      </c>
      <c r="D239">
        <v>0</v>
      </c>
    </row>
    <row r="240" spans="1:4">
      <c r="A240">
        <v>0</v>
      </c>
      <c r="B240">
        <v>0</v>
      </c>
      <c r="C240">
        <v>0</v>
      </c>
      <c r="D240">
        <v>0</v>
      </c>
    </row>
    <row r="241" spans="1:4">
      <c r="A241">
        <v>0</v>
      </c>
      <c r="B241">
        <v>0</v>
      </c>
      <c r="C241">
        <v>0</v>
      </c>
      <c r="D241">
        <v>0</v>
      </c>
    </row>
    <row r="242" spans="1:4">
      <c r="A242">
        <v>0</v>
      </c>
      <c r="B242">
        <v>0</v>
      </c>
      <c r="C242">
        <v>0</v>
      </c>
      <c r="D242">
        <v>0</v>
      </c>
    </row>
    <row r="243" spans="1:4">
      <c r="A243">
        <v>0</v>
      </c>
      <c r="B243">
        <v>0</v>
      </c>
      <c r="C243">
        <v>0</v>
      </c>
      <c r="D243">
        <v>0</v>
      </c>
    </row>
    <row r="244" spans="1:4">
      <c r="A244">
        <v>0</v>
      </c>
      <c r="B244">
        <v>0</v>
      </c>
      <c r="C244">
        <v>0</v>
      </c>
      <c r="D244">
        <v>0</v>
      </c>
    </row>
    <row r="245" spans="1:4">
      <c r="A245">
        <v>0</v>
      </c>
      <c r="B245">
        <v>0</v>
      </c>
      <c r="C245">
        <v>0</v>
      </c>
      <c r="D245">
        <v>0</v>
      </c>
    </row>
    <row r="246" spans="1:4">
      <c r="A246">
        <v>0</v>
      </c>
      <c r="B246">
        <v>0</v>
      </c>
      <c r="C246">
        <v>0</v>
      </c>
      <c r="D246">
        <v>0</v>
      </c>
    </row>
    <row r="247" spans="1:4">
      <c r="A247">
        <v>0</v>
      </c>
      <c r="B247">
        <v>0</v>
      </c>
      <c r="C247">
        <v>0</v>
      </c>
      <c r="D247">
        <v>0</v>
      </c>
    </row>
    <row r="248" spans="1:4">
      <c r="A248">
        <v>0</v>
      </c>
      <c r="B248">
        <v>0</v>
      </c>
      <c r="C248">
        <v>0</v>
      </c>
      <c r="D248">
        <v>0</v>
      </c>
    </row>
    <row r="249" spans="1:4">
      <c r="A249">
        <v>0</v>
      </c>
      <c r="B249">
        <v>0</v>
      </c>
      <c r="C249">
        <v>0</v>
      </c>
      <c r="D249">
        <v>0</v>
      </c>
    </row>
    <row r="250" spans="1:4">
      <c r="A250">
        <v>0</v>
      </c>
      <c r="B250">
        <v>0</v>
      </c>
      <c r="C250">
        <v>0</v>
      </c>
      <c r="D250">
        <v>0</v>
      </c>
    </row>
    <row r="251" spans="1:4">
      <c r="A251">
        <v>0</v>
      </c>
      <c r="B251">
        <v>0</v>
      </c>
      <c r="C251">
        <v>0</v>
      </c>
      <c r="D251">
        <v>0</v>
      </c>
    </row>
    <row r="252" spans="1:4">
      <c r="A252">
        <v>0</v>
      </c>
      <c r="B252">
        <v>0</v>
      </c>
      <c r="C252">
        <v>0</v>
      </c>
      <c r="D252">
        <v>0</v>
      </c>
    </row>
    <row r="253" spans="1:4">
      <c r="A253">
        <v>0</v>
      </c>
      <c r="B253">
        <v>0</v>
      </c>
      <c r="C253">
        <v>0</v>
      </c>
      <c r="D253">
        <v>0</v>
      </c>
    </row>
    <row r="254" spans="1:4">
      <c r="A254">
        <v>0</v>
      </c>
      <c r="B254">
        <v>0</v>
      </c>
      <c r="C254">
        <v>0</v>
      </c>
      <c r="D254">
        <v>0</v>
      </c>
    </row>
    <row r="255" spans="1:4">
      <c r="A255">
        <v>0</v>
      </c>
      <c r="B255">
        <v>0</v>
      </c>
      <c r="C255">
        <v>0</v>
      </c>
      <c r="D255">
        <v>0</v>
      </c>
    </row>
    <row r="256" spans="1:4">
      <c r="A256">
        <v>0</v>
      </c>
      <c r="B256">
        <v>0</v>
      </c>
      <c r="C256">
        <v>0</v>
      </c>
      <c r="D256">
        <v>0</v>
      </c>
    </row>
    <row r="257" spans="1:4">
      <c r="A257">
        <v>0</v>
      </c>
      <c r="B257">
        <v>0</v>
      </c>
      <c r="C257">
        <v>0</v>
      </c>
      <c r="D257">
        <v>0</v>
      </c>
    </row>
    <row r="258" spans="1:4">
      <c r="A258">
        <v>0</v>
      </c>
      <c r="B258">
        <v>0</v>
      </c>
      <c r="C258">
        <v>0</v>
      </c>
      <c r="D258">
        <v>0</v>
      </c>
    </row>
    <row r="259" spans="1:4">
      <c r="A259">
        <v>0</v>
      </c>
      <c r="B259">
        <v>0</v>
      </c>
      <c r="C259">
        <v>0</v>
      </c>
      <c r="D259">
        <v>0</v>
      </c>
    </row>
    <row r="260" spans="1:4">
      <c r="A260">
        <v>0</v>
      </c>
      <c r="B260">
        <v>0</v>
      </c>
      <c r="C260">
        <v>0</v>
      </c>
      <c r="D260">
        <v>0</v>
      </c>
    </row>
    <row r="261" spans="1:4">
      <c r="A261">
        <v>0</v>
      </c>
      <c r="B261">
        <v>0</v>
      </c>
      <c r="C261">
        <v>0</v>
      </c>
      <c r="D261">
        <v>0</v>
      </c>
    </row>
    <row r="262" spans="1:4">
      <c r="A262">
        <v>0</v>
      </c>
      <c r="B262">
        <v>0</v>
      </c>
      <c r="C262">
        <v>0</v>
      </c>
      <c r="D262">
        <v>0</v>
      </c>
    </row>
    <row r="263" spans="1:4">
      <c r="A263">
        <v>0</v>
      </c>
      <c r="B263">
        <v>0</v>
      </c>
      <c r="C263">
        <v>0</v>
      </c>
      <c r="D263">
        <v>0</v>
      </c>
    </row>
    <row r="264" spans="1:4">
      <c r="A264">
        <v>0</v>
      </c>
      <c r="B264">
        <v>0</v>
      </c>
      <c r="C264">
        <v>0</v>
      </c>
      <c r="D264">
        <v>0</v>
      </c>
    </row>
    <row r="265" spans="1:4">
      <c r="A265">
        <v>0</v>
      </c>
      <c r="B265">
        <v>0</v>
      </c>
      <c r="C265">
        <v>0</v>
      </c>
      <c r="D265">
        <v>0</v>
      </c>
    </row>
    <row r="266" spans="1:4">
      <c r="A266">
        <v>0</v>
      </c>
      <c r="B266">
        <v>0</v>
      </c>
      <c r="C266">
        <v>0</v>
      </c>
      <c r="D266">
        <v>0</v>
      </c>
    </row>
    <row r="267" spans="1:4">
      <c r="A267">
        <v>0</v>
      </c>
      <c r="B267">
        <v>0</v>
      </c>
      <c r="C267">
        <v>0</v>
      </c>
      <c r="D267">
        <v>0</v>
      </c>
    </row>
    <row r="268" spans="1:4">
      <c r="A268">
        <v>0</v>
      </c>
      <c r="B268">
        <v>0</v>
      </c>
      <c r="C268">
        <v>0</v>
      </c>
      <c r="D268">
        <v>0</v>
      </c>
    </row>
    <row r="269" spans="1:4">
      <c r="A269">
        <v>0</v>
      </c>
      <c r="B269">
        <v>0</v>
      </c>
      <c r="C269">
        <v>0</v>
      </c>
      <c r="D269">
        <v>0</v>
      </c>
    </row>
    <row r="270" spans="1:4">
      <c r="A270">
        <v>0</v>
      </c>
      <c r="B270">
        <v>0</v>
      </c>
      <c r="C270">
        <v>0</v>
      </c>
      <c r="D270">
        <v>0</v>
      </c>
    </row>
    <row r="271" spans="1:4">
      <c r="A271">
        <v>0</v>
      </c>
      <c r="B271">
        <v>0</v>
      </c>
      <c r="C271">
        <v>0</v>
      </c>
      <c r="D271">
        <v>0</v>
      </c>
    </row>
    <row r="272" spans="1:4">
      <c r="A272">
        <v>0</v>
      </c>
      <c r="B272">
        <v>0</v>
      </c>
      <c r="C272">
        <v>0</v>
      </c>
      <c r="D272">
        <v>0</v>
      </c>
    </row>
    <row r="273" spans="1:4">
      <c r="A273">
        <v>0</v>
      </c>
      <c r="B273">
        <v>0</v>
      </c>
      <c r="C273">
        <v>0</v>
      </c>
      <c r="D273">
        <v>0</v>
      </c>
    </row>
    <row r="274" spans="1:4">
      <c r="A274">
        <v>0</v>
      </c>
      <c r="B274">
        <v>0</v>
      </c>
      <c r="C274">
        <v>0</v>
      </c>
      <c r="D274">
        <v>0</v>
      </c>
    </row>
    <row r="275" spans="1:4">
      <c r="A275">
        <v>0</v>
      </c>
      <c r="B275">
        <v>0</v>
      </c>
      <c r="C275">
        <v>0</v>
      </c>
      <c r="D275">
        <v>0</v>
      </c>
    </row>
    <row r="276" spans="1:4">
      <c r="A276">
        <v>0</v>
      </c>
      <c r="B276">
        <v>0</v>
      </c>
      <c r="C276">
        <v>0</v>
      </c>
      <c r="D276">
        <v>0</v>
      </c>
    </row>
    <row r="277" spans="1:4">
      <c r="A277">
        <v>0</v>
      </c>
      <c r="B277">
        <v>0</v>
      </c>
      <c r="C277">
        <v>0</v>
      </c>
      <c r="D277">
        <v>0</v>
      </c>
    </row>
    <row r="278" spans="1:4">
      <c r="A278">
        <v>0</v>
      </c>
      <c r="B278">
        <v>0</v>
      </c>
      <c r="C278">
        <v>0</v>
      </c>
      <c r="D278">
        <v>0</v>
      </c>
    </row>
    <row r="279" spans="1:4">
      <c r="A279">
        <v>0</v>
      </c>
      <c r="B279">
        <v>0</v>
      </c>
      <c r="C279">
        <v>0</v>
      </c>
      <c r="D279">
        <v>0</v>
      </c>
    </row>
    <row r="280" spans="1:4">
      <c r="A280">
        <v>0</v>
      </c>
      <c r="B280">
        <v>0</v>
      </c>
      <c r="C280">
        <v>0</v>
      </c>
      <c r="D280">
        <v>0</v>
      </c>
    </row>
    <row r="281" spans="1:4">
      <c r="A281">
        <v>0</v>
      </c>
      <c r="B281">
        <v>0</v>
      </c>
      <c r="C281">
        <v>0</v>
      </c>
      <c r="D281">
        <v>0</v>
      </c>
    </row>
    <row r="282" spans="1:4">
      <c r="A282">
        <v>0</v>
      </c>
      <c r="B282">
        <v>0</v>
      </c>
      <c r="C282">
        <v>0</v>
      </c>
      <c r="D282">
        <v>0</v>
      </c>
    </row>
    <row r="283" spans="1:4">
      <c r="A283">
        <v>0</v>
      </c>
      <c r="B283">
        <v>0</v>
      </c>
      <c r="C283">
        <v>0</v>
      </c>
      <c r="D283">
        <v>0</v>
      </c>
    </row>
    <row r="284" spans="1:4">
      <c r="A284">
        <v>0</v>
      </c>
      <c r="B284">
        <v>0</v>
      </c>
      <c r="C284">
        <v>0</v>
      </c>
      <c r="D284">
        <v>0</v>
      </c>
    </row>
    <row r="285" spans="1:4">
      <c r="A285">
        <v>0</v>
      </c>
      <c r="B285">
        <v>0</v>
      </c>
      <c r="C285">
        <v>0</v>
      </c>
      <c r="D285">
        <v>0</v>
      </c>
    </row>
    <row r="286" spans="1:4">
      <c r="A286">
        <v>0</v>
      </c>
      <c r="B286">
        <v>0</v>
      </c>
      <c r="C286">
        <v>0</v>
      </c>
      <c r="D286">
        <v>0</v>
      </c>
    </row>
    <row r="287" spans="1:4">
      <c r="A287">
        <v>0</v>
      </c>
      <c r="B287">
        <v>0</v>
      </c>
      <c r="C287">
        <v>0</v>
      </c>
      <c r="D287">
        <v>0</v>
      </c>
    </row>
    <row r="288" spans="1:4">
      <c r="A288">
        <v>0</v>
      </c>
      <c r="B288">
        <v>0</v>
      </c>
      <c r="C288">
        <v>0</v>
      </c>
      <c r="D288">
        <v>0</v>
      </c>
    </row>
    <row r="289" spans="1:4">
      <c r="A289">
        <v>0</v>
      </c>
      <c r="B289">
        <v>0</v>
      </c>
      <c r="C289">
        <v>0</v>
      </c>
      <c r="D289">
        <v>0</v>
      </c>
    </row>
    <row r="290" spans="1:4">
      <c r="A290">
        <v>0</v>
      </c>
      <c r="B290">
        <v>0</v>
      </c>
      <c r="C290">
        <v>0</v>
      </c>
      <c r="D290">
        <v>0</v>
      </c>
    </row>
    <row r="291" spans="1:4">
      <c r="A291">
        <v>0</v>
      </c>
      <c r="B291">
        <v>0</v>
      </c>
      <c r="C291">
        <v>0</v>
      </c>
      <c r="D291">
        <v>0</v>
      </c>
    </row>
    <row r="292" spans="1:4">
      <c r="A292">
        <v>0</v>
      </c>
      <c r="B292">
        <v>0</v>
      </c>
      <c r="C292">
        <v>0</v>
      </c>
      <c r="D292">
        <v>0</v>
      </c>
    </row>
    <row r="293" spans="1:4">
      <c r="A293">
        <v>0</v>
      </c>
      <c r="B293">
        <v>0</v>
      </c>
      <c r="C293">
        <v>0</v>
      </c>
      <c r="D293">
        <v>0</v>
      </c>
    </row>
    <row r="294" spans="1:4">
      <c r="A294">
        <v>0</v>
      </c>
      <c r="B294">
        <v>0</v>
      </c>
      <c r="C294">
        <v>0</v>
      </c>
      <c r="D294">
        <v>0</v>
      </c>
    </row>
    <row r="295" spans="1:4">
      <c r="A295">
        <v>0</v>
      </c>
      <c r="B295">
        <v>0</v>
      </c>
      <c r="C295">
        <v>0</v>
      </c>
      <c r="D295">
        <v>0</v>
      </c>
    </row>
    <row r="296" spans="1:4">
      <c r="A296">
        <v>0</v>
      </c>
      <c r="B296">
        <v>0</v>
      </c>
      <c r="C296">
        <v>0</v>
      </c>
      <c r="D296">
        <v>0</v>
      </c>
    </row>
    <row r="297" spans="1:4">
      <c r="A297">
        <v>0</v>
      </c>
      <c r="B297">
        <v>0</v>
      </c>
      <c r="C297">
        <v>0</v>
      </c>
      <c r="D297">
        <v>0</v>
      </c>
    </row>
    <row r="298" spans="1:4">
      <c r="A298">
        <v>0</v>
      </c>
      <c r="B298">
        <v>0</v>
      </c>
      <c r="C298">
        <v>0</v>
      </c>
      <c r="D298">
        <v>0</v>
      </c>
    </row>
    <row r="299" spans="1:4">
      <c r="A299">
        <v>0</v>
      </c>
      <c r="B299">
        <v>0</v>
      </c>
      <c r="C299">
        <v>0</v>
      </c>
      <c r="D299">
        <v>0</v>
      </c>
    </row>
    <row r="300" spans="1:4">
      <c r="A300">
        <v>0</v>
      </c>
      <c r="B300">
        <v>0</v>
      </c>
      <c r="C300">
        <v>0</v>
      </c>
      <c r="D300">
        <v>0</v>
      </c>
    </row>
    <row r="301" spans="1:4">
      <c r="A301">
        <v>0</v>
      </c>
      <c r="B301">
        <v>0</v>
      </c>
      <c r="C301">
        <v>0</v>
      </c>
      <c r="D301">
        <v>0</v>
      </c>
    </row>
    <row r="302" spans="1:4">
      <c r="A302">
        <v>0</v>
      </c>
      <c r="B302">
        <v>0</v>
      </c>
      <c r="C302">
        <v>0</v>
      </c>
      <c r="D302">
        <v>0</v>
      </c>
    </row>
    <row r="303" spans="1:4">
      <c r="A303">
        <v>0</v>
      </c>
      <c r="B303">
        <v>0</v>
      </c>
      <c r="C303">
        <v>0</v>
      </c>
      <c r="D303">
        <v>0</v>
      </c>
    </row>
    <row r="304" spans="1:4">
      <c r="A304">
        <v>0</v>
      </c>
      <c r="B304">
        <v>0</v>
      </c>
      <c r="C304">
        <v>0</v>
      </c>
      <c r="D304">
        <v>0</v>
      </c>
    </row>
    <row r="305" spans="1:4">
      <c r="A305">
        <v>0</v>
      </c>
      <c r="B305">
        <v>0</v>
      </c>
      <c r="C305">
        <v>0</v>
      </c>
      <c r="D305">
        <v>0</v>
      </c>
    </row>
    <row r="306" spans="1:4">
      <c r="A306">
        <v>0</v>
      </c>
      <c r="B306">
        <v>0</v>
      </c>
      <c r="C306">
        <v>0</v>
      </c>
      <c r="D306">
        <v>0</v>
      </c>
    </row>
    <row r="307" spans="1:4">
      <c r="A307">
        <v>0</v>
      </c>
      <c r="B307">
        <v>0</v>
      </c>
      <c r="C307">
        <v>0</v>
      </c>
      <c r="D307">
        <v>0</v>
      </c>
    </row>
    <row r="308" spans="1:4">
      <c r="A308">
        <v>0</v>
      </c>
      <c r="B308">
        <v>0</v>
      </c>
      <c r="C308">
        <v>0</v>
      </c>
      <c r="D308">
        <v>0</v>
      </c>
    </row>
    <row r="309" spans="1:4">
      <c r="A309">
        <v>0</v>
      </c>
      <c r="B309">
        <v>0</v>
      </c>
      <c r="C309">
        <v>0</v>
      </c>
      <c r="D309">
        <v>0</v>
      </c>
    </row>
    <row r="310" spans="1:4">
      <c r="A310">
        <v>0</v>
      </c>
      <c r="B310">
        <v>0</v>
      </c>
      <c r="C310">
        <v>0</v>
      </c>
      <c r="D310">
        <v>0</v>
      </c>
    </row>
    <row r="311" spans="1:4">
      <c r="A311">
        <v>0</v>
      </c>
      <c r="B311">
        <v>0</v>
      </c>
      <c r="C311">
        <v>0</v>
      </c>
      <c r="D311">
        <v>0</v>
      </c>
    </row>
    <row r="312" spans="1:4">
      <c r="A312">
        <v>0</v>
      </c>
      <c r="B312">
        <v>0</v>
      </c>
      <c r="C312">
        <v>0</v>
      </c>
      <c r="D312">
        <v>0</v>
      </c>
    </row>
    <row r="313" spans="1:4">
      <c r="A313">
        <v>0</v>
      </c>
      <c r="B313">
        <v>0</v>
      </c>
      <c r="C313">
        <v>0</v>
      </c>
      <c r="D313">
        <v>0</v>
      </c>
    </row>
    <row r="314" spans="1:4">
      <c r="A314">
        <v>0</v>
      </c>
      <c r="B314">
        <v>0</v>
      </c>
      <c r="C314">
        <v>0</v>
      </c>
      <c r="D314">
        <v>0</v>
      </c>
    </row>
    <row r="315" spans="1:4">
      <c r="A315">
        <v>0</v>
      </c>
      <c r="B315">
        <v>0</v>
      </c>
      <c r="C315">
        <v>0</v>
      </c>
      <c r="D315">
        <v>0</v>
      </c>
    </row>
    <row r="316" spans="1:4">
      <c r="A316">
        <v>0</v>
      </c>
      <c r="B316">
        <v>0</v>
      </c>
      <c r="C316">
        <v>0</v>
      </c>
      <c r="D316">
        <v>0</v>
      </c>
    </row>
    <row r="317" spans="1:4">
      <c r="A317">
        <v>0</v>
      </c>
      <c r="B317">
        <v>0</v>
      </c>
      <c r="C317">
        <v>0</v>
      </c>
      <c r="D317">
        <v>0</v>
      </c>
    </row>
    <row r="318" spans="1:4">
      <c r="A318">
        <v>0</v>
      </c>
      <c r="B318">
        <v>0</v>
      </c>
      <c r="C318">
        <v>0</v>
      </c>
      <c r="D318">
        <v>0</v>
      </c>
    </row>
    <row r="319" spans="1:4">
      <c r="A319">
        <v>0</v>
      </c>
      <c r="B319">
        <v>0</v>
      </c>
      <c r="C319">
        <v>0</v>
      </c>
      <c r="D319">
        <v>0</v>
      </c>
    </row>
    <row r="320" spans="1:4">
      <c r="A320">
        <v>0</v>
      </c>
      <c r="B320">
        <v>0</v>
      </c>
      <c r="C320">
        <v>0</v>
      </c>
      <c r="D320">
        <v>0</v>
      </c>
    </row>
    <row r="321" spans="1:4">
      <c r="A321">
        <v>0</v>
      </c>
      <c r="B321">
        <v>0</v>
      </c>
      <c r="C321">
        <v>0</v>
      </c>
      <c r="D321">
        <v>0</v>
      </c>
    </row>
    <row r="322" spans="1:4">
      <c r="A322">
        <v>0</v>
      </c>
      <c r="B322">
        <v>0</v>
      </c>
      <c r="C322">
        <v>0</v>
      </c>
      <c r="D322">
        <v>0</v>
      </c>
    </row>
    <row r="323" spans="1:4">
      <c r="A323">
        <v>0</v>
      </c>
      <c r="B323">
        <v>0</v>
      </c>
      <c r="C323">
        <v>0</v>
      </c>
      <c r="D323">
        <v>0</v>
      </c>
    </row>
    <row r="324" spans="1:4">
      <c r="A324">
        <v>0</v>
      </c>
      <c r="B324">
        <v>0</v>
      </c>
      <c r="C324">
        <v>0</v>
      </c>
      <c r="D324">
        <v>0</v>
      </c>
    </row>
    <row r="325" spans="1:4">
      <c r="A325">
        <v>0</v>
      </c>
      <c r="B325">
        <v>0</v>
      </c>
      <c r="C325">
        <v>0</v>
      </c>
      <c r="D325">
        <v>0</v>
      </c>
    </row>
    <row r="326" spans="1:4">
      <c r="A326">
        <v>0</v>
      </c>
      <c r="B326">
        <v>0</v>
      </c>
      <c r="C326">
        <v>0</v>
      </c>
      <c r="D326">
        <v>0</v>
      </c>
    </row>
    <row r="327" spans="1:4">
      <c r="A327">
        <v>0</v>
      </c>
      <c r="B327">
        <v>0</v>
      </c>
      <c r="C327">
        <v>0</v>
      </c>
      <c r="D327">
        <v>0</v>
      </c>
    </row>
    <row r="328" spans="1:4">
      <c r="A328">
        <v>0</v>
      </c>
      <c r="B328">
        <v>0</v>
      </c>
      <c r="C328">
        <v>0</v>
      </c>
      <c r="D328">
        <v>0</v>
      </c>
    </row>
    <row r="329" spans="1:4">
      <c r="A329">
        <v>0</v>
      </c>
      <c r="B329">
        <v>0</v>
      </c>
      <c r="C329">
        <v>0</v>
      </c>
      <c r="D329">
        <v>0</v>
      </c>
    </row>
    <row r="330" spans="1:4">
      <c r="A330">
        <v>0</v>
      </c>
      <c r="B330">
        <v>0</v>
      </c>
      <c r="C330">
        <v>0</v>
      </c>
      <c r="D330">
        <v>0</v>
      </c>
    </row>
    <row r="331" spans="1:4">
      <c r="A331">
        <v>0</v>
      </c>
      <c r="B331">
        <v>0</v>
      </c>
      <c r="C331">
        <v>0</v>
      </c>
      <c r="D331">
        <v>0</v>
      </c>
    </row>
  </sheetData>
  <sheetProtection password="E4E4" sheet="1" objects="1" scenarios="1"/>
  <mergeCells count="133">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 ref="F53:P53"/>
    <mergeCell ref="F54:P54"/>
    <mergeCell ref="F55:P55"/>
    <mergeCell ref="F56:P56"/>
    <mergeCell ref="F57:P57"/>
    <mergeCell ref="F58:P58"/>
    <mergeCell ref="F59:P59"/>
    <mergeCell ref="F60:P60"/>
    <mergeCell ref="F61:P61"/>
    <mergeCell ref="F62:P62"/>
    <mergeCell ref="F63:P63"/>
    <mergeCell ref="F64:P64"/>
    <mergeCell ref="F65:P65"/>
    <mergeCell ref="F66:P66"/>
    <mergeCell ref="F67:P67"/>
    <mergeCell ref="F68:P68"/>
    <mergeCell ref="F69:P69"/>
    <mergeCell ref="F70:P70"/>
    <mergeCell ref="F71:P71"/>
    <mergeCell ref="F72:P72"/>
    <mergeCell ref="F73:P73"/>
    <mergeCell ref="F74:P74"/>
    <mergeCell ref="F75:P75"/>
    <mergeCell ref="F76:P76"/>
    <mergeCell ref="F77:P77"/>
    <mergeCell ref="F78:P78"/>
    <mergeCell ref="F79:P79"/>
    <mergeCell ref="F80:P80"/>
    <mergeCell ref="F81:P81"/>
    <mergeCell ref="F82:P82"/>
    <mergeCell ref="F83:P83"/>
    <mergeCell ref="F84:P84"/>
    <mergeCell ref="F85:P85"/>
    <mergeCell ref="F86:P86"/>
    <mergeCell ref="F87:P87"/>
    <mergeCell ref="F88:P88"/>
    <mergeCell ref="F89:P89"/>
    <mergeCell ref="F90:P90"/>
    <mergeCell ref="F91:P91"/>
    <mergeCell ref="F92:P92"/>
    <mergeCell ref="F93:P93"/>
    <mergeCell ref="F94:P94"/>
    <mergeCell ref="F95:P95"/>
    <mergeCell ref="F96:P96"/>
    <mergeCell ref="F97:P97"/>
    <mergeCell ref="F98:P98"/>
    <mergeCell ref="F99:P99"/>
    <mergeCell ref="F100:P100"/>
    <mergeCell ref="F101:P101"/>
    <mergeCell ref="F102:P102"/>
    <mergeCell ref="F103:P103"/>
    <mergeCell ref="F104:P104"/>
    <mergeCell ref="F105:P105"/>
    <mergeCell ref="F106:P106"/>
    <mergeCell ref="F107:P107"/>
    <mergeCell ref="F108:P108"/>
    <mergeCell ref="F109:P109"/>
    <mergeCell ref="F110:P110"/>
    <mergeCell ref="F111:P111"/>
    <mergeCell ref="F112:P112"/>
    <mergeCell ref="F113:P113"/>
    <mergeCell ref="F114:P114"/>
    <mergeCell ref="F115:P115"/>
    <mergeCell ref="F116:P116"/>
    <mergeCell ref="F117:P117"/>
    <mergeCell ref="F118:P118"/>
    <mergeCell ref="F119:P119"/>
    <mergeCell ref="F120:P120"/>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V331"/>
  <sheetViews>
    <sheetView workbookViewId="0"/>
  </sheetViews>
  <sheetFormatPr defaultRowHeight="15"/>
  <cols>
    <col min="1" max="5" width="0" hidden="1" customWidth="1"/>
    <col min="21" max="22" width="0" hidden="1" customWidth="1"/>
  </cols>
  <sheetData>
    <row r="1" spans="1:22">
      <c r="F1" s="2" t="s">
        <v>752</v>
      </c>
      <c r="G1" s="2"/>
      <c r="H1" s="2"/>
      <c r="I1" s="2"/>
      <c r="J1" s="2"/>
      <c r="K1" s="2"/>
      <c r="L1" s="2"/>
      <c r="M1" s="2"/>
      <c r="N1" s="2"/>
      <c r="O1" s="2"/>
      <c r="P1" s="2"/>
      <c r="U1" t="s">
        <v>753</v>
      </c>
      <c r="V1" t="s">
        <v>762</v>
      </c>
    </row>
    <row r="2" spans="1:22">
      <c r="F2" s="15" t="s">
        <v>39</v>
      </c>
      <c r="G2" s="16" t="s">
        <v>40</v>
      </c>
      <c r="H2" s="16"/>
      <c r="I2" s="16"/>
      <c r="J2" s="16" t="s">
        <v>41</v>
      </c>
      <c r="K2" s="16"/>
      <c r="L2" s="16"/>
      <c r="M2" s="16" t="s">
        <v>42</v>
      </c>
      <c r="N2" s="16"/>
      <c r="O2" s="16"/>
      <c r="U2" t="s">
        <v>755</v>
      </c>
      <c r="V2">
        <f>CountIf(data_summary_by_question!D2:D321,$V$1)</f>
        <v>0</v>
      </c>
    </row>
    <row r="3" spans="1:22">
      <c r="F3" s="17"/>
      <c r="G3" s="17" t="s">
        <v>43</v>
      </c>
      <c r="H3" s="17"/>
      <c r="I3" s="17"/>
      <c r="J3" s="17" t="s">
        <v>46</v>
      </c>
      <c r="K3" s="17"/>
      <c r="L3" s="17"/>
      <c r="M3" s="17" t="s">
        <v>52</v>
      </c>
      <c r="N3" s="17"/>
      <c r="O3" s="17"/>
    </row>
    <row r="4" spans="1:22">
      <c r="F4" s="18"/>
      <c r="G4" s="18" t="s">
        <v>44</v>
      </c>
      <c r="H4" s="18"/>
      <c r="I4" s="18"/>
      <c r="J4" s="18" t="s">
        <v>47</v>
      </c>
      <c r="K4" s="18"/>
      <c r="L4" s="18"/>
      <c r="M4" s="18" t="s">
        <v>53</v>
      </c>
      <c r="N4" s="18"/>
      <c r="O4" s="18"/>
    </row>
    <row r="5" spans="1:22">
      <c r="F5" s="18"/>
      <c r="G5" s="18" t="s">
        <v>2</v>
      </c>
      <c r="H5" s="18"/>
      <c r="I5" s="18"/>
      <c r="J5" s="18" t="s">
        <v>48</v>
      </c>
      <c r="K5" s="18"/>
      <c r="L5" s="18"/>
      <c r="M5" s="18" t="s">
        <v>54</v>
      </c>
      <c r="N5" s="18"/>
      <c r="O5" s="18"/>
      <c r="U5" t="s">
        <v>756</v>
      </c>
    </row>
    <row r="6" spans="1:22">
      <c r="F6" s="18"/>
      <c r="G6" s="18" t="s">
        <v>45</v>
      </c>
      <c r="H6" s="18"/>
      <c r="I6" s="18"/>
      <c r="J6" s="18" t="s">
        <v>49</v>
      </c>
      <c r="K6" s="18"/>
      <c r="L6" s="18"/>
      <c r="M6" s="18" t="s">
        <v>51</v>
      </c>
      <c r="N6" s="18"/>
      <c r="O6" s="18"/>
      <c r="U6">
        <f>IF(ISERROR(A11),IF(ERROR.TYPE(A11)=5,FALSE,TRUE),TRUE)</f>
        <v>0</v>
      </c>
    </row>
    <row r="7" spans="1:22">
      <c r="F7" s="18"/>
      <c r="G7" s="18"/>
      <c r="H7" s="18"/>
      <c r="I7" s="18"/>
      <c r="J7" s="18" t="s">
        <v>50</v>
      </c>
      <c r="K7" s="18"/>
      <c r="L7" s="18"/>
      <c r="M7" s="18"/>
      <c r="N7" s="18"/>
      <c r="O7" s="18"/>
    </row>
    <row r="8" spans="1:22">
      <c r="F8" s="19"/>
      <c r="G8" s="19"/>
      <c r="H8" s="19"/>
      <c r="I8" s="19"/>
      <c r="J8" s="19" t="s">
        <v>51</v>
      </c>
      <c r="K8" s="19"/>
      <c r="L8" s="19"/>
      <c r="M8" s="19"/>
      <c r="N8" s="19"/>
      <c r="O8" s="19"/>
    </row>
    <row r="10" spans="1:22">
      <c r="F10" s="20" t="s">
        <v>774</v>
      </c>
      <c r="G10" s="20"/>
      <c r="H10" s="20"/>
      <c r="I10" s="20"/>
      <c r="J10" s="20"/>
      <c r="K10" s="20"/>
      <c r="L10" s="20"/>
      <c r="M10" s="20"/>
      <c r="N10" s="20"/>
      <c r="O10" s="20"/>
      <c r="P10" s="20"/>
    </row>
    <row r="11" spans="1:22" ht="48" customHeight="1">
      <c r="A11" cm="1">
        <f t="array" ref="A11:D331">_xlfn._xlws.FILTER(data_summary_by_question!A2:D321,data_summary_by_question!D2:D321=$V$1)</f>
        <v>0</v>
      </c>
      <c r="B11">
        <v>0</v>
      </c>
      <c r="C11">
        <v>0</v>
      </c>
      <c r="D11">
        <v>0</v>
      </c>
      <c r="F11" s="27">
        <f>IF(U6, IF(V2=0,"None found", IF(ISNA(C11),"",A11&amp; " - " &amp; C11)),"LISTS require Microsoft 365 or Office 365")</f>
        <v>0</v>
      </c>
      <c r="G11" s="27"/>
      <c r="H11" s="27"/>
      <c r="I11" s="27"/>
      <c r="J11" s="27"/>
      <c r="K11" s="27"/>
      <c r="L11" s="27"/>
      <c r="M11" s="27"/>
      <c r="N11" s="27"/>
      <c r="O11" s="27"/>
      <c r="P11" s="27"/>
    </row>
    <row r="12" spans="1:22" ht="48" customHeight="1">
      <c r="A12">
        <v>0</v>
      </c>
      <c r="B12">
        <v>0</v>
      </c>
      <c r="C12">
        <v>0</v>
      </c>
      <c r="D12">
        <v>0</v>
      </c>
      <c r="F12" s="27">
        <f>IF(U6,IF(V2&lt;=1,"", IF(ISNA(C12),"",A12&amp; " - " &amp; C12)),"")</f>
        <v>0</v>
      </c>
      <c r="G12" s="27"/>
      <c r="H12" s="27"/>
      <c r="I12" s="27"/>
      <c r="J12" s="27"/>
      <c r="K12" s="27"/>
      <c r="L12" s="27"/>
      <c r="M12" s="27"/>
      <c r="N12" s="27"/>
      <c r="O12" s="27"/>
      <c r="P12" s="27"/>
    </row>
    <row r="13" spans="1:22" ht="48" customHeight="1">
      <c r="A13">
        <v>0</v>
      </c>
      <c r="B13">
        <v>0</v>
      </c>
      <c r="C13">
        <v>0</v>
      </c>
      <c r="D13">
        <v>0</v>
      </c>
      <c r="F13" s="27">
        <f>IF(U6,IF(V2&lt;=1,"", IF(ISNA(C13),"",A13&amp; " - " &amp; C13)),"")</f>
        <v>0</v>
      </c>
      <c r="G13" s="27"/>
      <c r="H13" s="27"/>
      <c r="I13" s="27"/>
      <c r="J13" s="27"/>
      <c r="K13" s="27"/>
      <c r="L13" s="27"/>
      <c r="M13" s="27"/>
      <c r="N13" s="27"/>
      <c r="O13" s="27"/>
      <c r="P13" s="27"/>
    </row>
    <row r="14" spans="1:22" ht="48" customHeight="1">
      <c r="A14">
        <v>0</v>
      </c>
      <c r="B14">
        <v>0</v>
      </c>
      <c r="C14">
        <v>0</v>
      </c>
      <c r="D14">
        <v>0</v>
      </c>
      <c r="F14" s="27">
        <f>IF(U6,IF(V2&lt;=1,"", IF(ISNA(C14),"",A14&amp; " - " &amp; C14)),"")</f>
        <v>0</v>
      </c>
      <c r="G14" s="27"/>
      <c r="H14" s="27"/>
      <c r="I14" s="27"/>
      <c r="J14" s="27"/>
      <c r="K14" s="27"/>
      <c r="L14" s="27"/>
      <c r="M14" s="27"/>
      <c r="N14" s="27"/>
      <c r="O14" s="27"/>
      <c r="P14" s="27"/>
    </row>
    <row r="15" spans="1:22" ht="48" customHeight="1">
      <c r="A15">
        <v>0</v>
      </c>
      <c r="B15">
        <v>0</v>
      </c>
      <c r="C15">
        <v>0</v>
      </c>
      <c r="D15">
        <v>0</v>
      </c>
      <c r="F15" s="27">
        <f>IF(U6,IF(V2&lt;=1,"", IF(ISNA(C15),"",A15&amp; " - " &amp; C15)),"")</f>
        <v>0</v>
      </c>
      <c r="G15" s="27"/>
      <c r="H15" s="27"/>
      <c r="I15" s="27"/>
      <c r="J15" s="27"/>
      <c r="K15" s="27"/>
      <c r="L15" s="27"/>
      <c r="M15" s="27"/>
      <c r="N15" s="27"/>
      <c r="O15" s="27"/>
      <c r="P15" s="27"/>
    </row>
    <row r="16" spans="1:22" ht="48" customHeight="1">
      <c r="A16">
        <v>0</v>
      </c>
      <c r="B16">
        <v>0</v>
      </c>
      <c r="C16">
        <v>0</v>
      </c>
      <c r="D16">
        <v>0</v>
      </c>
      <c r="F16" s="27">
        <f>IF(U6,IF(V2&lt;=1,"", IF(ISNA(C16),"",A16&amp; " - " &amp; C16)),"")</f>
        <v>0</v>
      </c>
      <c r="G16" s="27"/>
      <c r="H16" s="27"/>
      <c r="I16" s="27"/>
      <c r="J16" s="27"/>
      <c r="K16" s="27"/>
      <c r="L16" s="27"/>
      <c r="M16" s="27"/>
      <c r="N16" s="27"/>
      <c r="O16" s="27"/>
      <c r="P16" s="27"/>
    </row>
    <row r="17" spans="1:16" ht="48" customHeight="1">
      <c r="A17">
        <v>0</v>
      </c>
      <c r="B17">
        <v>0</v>
      </c>
      <c r="C17">
        <v>0</v>
      </c>
      <c r="D17">
        <v>0</v>
      </c>
      <c r="F17" s="27">
        <f>IF(U6,IF(V2&lt;=1,"", IF(ISNA(C17),"",A17&amp; " - " &amp; C17)),"")</f>
        <v>0</v>
      </c>
      <c r="G17" s="27"/>
      <c r="H17" s="27"/>
      <c r="I17" s="27"/>
      <c r="J17" s="27"/>
      <c r="K17" s="27"/>
      <c r="L17" s="27"/>
      <c r="M17" s="27"/>
      <c r="N17" s="27"/>
      <c r="O17" s="27"/>
      <c r="P17" s="27"/>
    </row>
    <row r="18" spans="1:16" ht="48" customHeight="1">
      <c r="A18">
        <v>0</v>
      </c>
      <c r="B18">
        <v>0</v>
      </c>
      <c r="C18">
        <v>0</v>
      </c>
      <c r="D18">
        <v>0</v>
      </c>
      <c r="F18" s="27">
        <f>IF(U6,IF(V2&lt;=1,"", IF(ISNA(C18),"",A18&amp; " - " &amp; C18)),"")</f>
        <v>0</v>
      </c>
      <c r="G18" s="27"/>
      <c r="H18" s="27"/>
      <c r="I18" s="27"/>
      <c r="J18" s="27"/>
      <c r="K18" s="27"/>
      <c r="L18" s="27"/>
      <c r="M18" s="27"/>
      <c r="N18" s="27"/>
      <c r="O18" s="27"/>
      <c r="P18" s="27"/>
    </row>
    <row r="19" spans="1:16" ht="48" customHeight="1">
      <c r="A19">
        <v>0</v>
      </c>
      <c r="B19">
        <v>0</v>
      </c>
      <c r="C19">
        <v>0</v>
      </c>
      <c r="D19">
        <v>0</v>
      </c>
      <c r="F19" s="27">
        <f>IF(U6,IF(V2&lt;=1,"", IF(ISNA(C19),"",A19&amp; " - " &amp; C19)),"")</f>
        <v>0</v>
      </c>
      <c r="G19" s="27"/>
      <c r="H19" s="27"/>
      <c r="I19" s="27"/>
      <c r="J19" s="27"/>
      <c r="K19" s="27"/>
      <c r="L19" s="27"/>
      <c r="M19" s="27"/>
      <c r="N19" s="27"/>
      <c r="O19" s="27"/>
      <c r="P19" s="27"/>
    </row>
    <row r="20" spans="1:16" ht="48" customHeight="1">
      <c r="A20">
        <v>0</v>
      </c>
      <c r="B20">
        <v>0</v>
      </c>
      <c r="C20">
        <v>0</v>
      </c>
      <c r="D20">
        <v>0</v>
      </c>
      <c r="F20" s="27">
        <f>IF(U6,IF(V2&lt;=1,"", IF(ISNA(C20),"",A20&amp; " - " &amp; C20)),"")</f>
        <v>0</v>
      </c>
      <c r="G20" s="27"/>
      <c r="H20" s="27"/>
      <c r="I20" s="27"/>
      <c r="J20" s="27"/>
      <c r="K20" s="27"/>
      <c r="L20" s="27"/>
      <c r="M20" s="27"/>
      <c r="N20" s="27"/>
      <c r="O20" s="27"/>
      <c r="P20" s="27"/>
    </row>
    <row r="21" spans="1:16" ht="48" customHeight="1">
      <c r="A21">
        <v>0</v>
      </c>
      <c r="B21">
        <v>0</v>
      </c>
      <c r="C21">
        <v>0</v>
      </c>
      <c r="D21">
        <v>0</v>
      </c>
      <c r="F21" s="27">
        <f>IF(U6,IF(V2&lt;=1,"", IF(ISNA(C21),"",A21&amp; " - " &amp; C21)),"")</f>
        <v>0</v>
      </c>
      <c r="G21" s="27"/>
      <c r="H21" s="27"/>
      <c r="I21" s="27"/>
      <c r="J21" s="27"/>
      <c r="K21" s="27"/>
      <c r="L21" s="27"/>
      <c r="M21" s="27"/>
      <c r="N21" s="27"/>
      <c r="O21" s="27"/>
      <c r="P21" s="27"/>
    </row>
    <row r="22" spans="1:16" ht="48" customHeight="1">
      <c r="A22">
        <v>0</v>
      </c>
      <c r="B22">
        <v>0</v>
      </c>
      <c r="C22">
        <v>0</v>
      </c>
      <c r="D22">
        <v>0</v>
      </c>
      <c r="F22" s="27">
        <f>IF(U6,IF(V2&lt;=1,"", IF(ISNA(C22),"",A22&amp; " - " &amp; C22)),"")</f>
        <v>0</v>
      </c>
      <c r="G22" s="27"/>
      <c r="H22" s="27"/>
      <c r="I22" s="27"/>
      <c r="J22" s="27"/>
      <c r="K22" s="27"/>
      <c r="L22" s="27"/>
      <c r="M22" s="27"/>
      <c r="N22" s="27"/>
      <c r="O22" s="27"/>
      <c r="P22" s="27"/>
    </row>
    <row r="23" spans="1:16" ht="48" customHeight="1">
      <c r="A23">
        <v>0</v>
      </c>
      <c r="B23">
        <v>0</v>
      </c>
      <c r="C23">
        <v>0</v>
      </c>
      <c r="D23">
        <v>0</v>
      </c>
      <c r="F23" s="27">
        <f>IF(U6,IF(V2&lt;=1,"", IF(ISNA(C23),"",A23&amp; " - " &amp; C23)),"")</f>
        <v>0</v>
      </c>
      <c r="G23" s="27"/>
      <c r="H23" s="27"/>
      <c r="I23" s="27"/>
      <c r="J23" s="27"/>
      <c r="K23" s="27"/>
      <c r="L23" s="27"/>
      <c r="M23" s="27"/>
      <c r="N23" s="27"/>
      <c r="O23" s="27"/>
      <c r="P23" s="27"/>
    </row>
    <row r="24" spans="1:16" ht="48" customHeight="1">
      <c r="A24">
        <v>0</v>
      </c>
      <c r="B24">
        <v>0</v>
      </c>
      <c r="C24">
        <v>0</v>
      </c>
      <c r="D24">
        <v>0</v>
      </c>
      <c r="F24" s="27">
        <f>IF(U6,IF(V2&lt;=1,"", IF(ISNA(C24),"",A24&amp; " - " &amp; C24)),"")</f>
        <v>0</v>
      </c>
      <c r="G24" s="27"/>
      <c r="H24" s="27"/>
      <c r="I24" s="27"/>
      <c r="J24" s="27"/>
      <c r="K24" s="27"/>
      <c r="L24" s="27"/>
      <c r="M24" s="27"/>
      <c r="N24" s="27"/>
      <c r="O24" s="27"/>
      <c r="P24" s="27"/>
    </row>
    <row r="25" spans="1:16" ht="48" customHeight="1">
      <c r="A25">
        <v>0</v>
      </c>
      <c r="B25">
        <v>0</v>
      </c>
      <c r="C25">
        <v>0</v>
      </c>
      <c r="D25">
        <v>0</v>
      </c>
      <c r="F25" s="27">
        <f>IF(U6,IF(V2&lt;=1,"", IF(ISNA(C25),"",A25&amp; " - " &amp; C25)),"")</f>
        <v>0</v>
      </c>
      <c r="G25" s="27"/>
      <c r="H25" s="27"/>
      <c r="I25" s="27"/>
      <c r="J25" s="27"/>
      <c r="K25" s="27"/>
      <c r="L25" s="27"/>
      <c r="M25" s="27"/>
      <c r="N25" s="27"/>
      <c r="O25" s="27"/>
      <c r="P25" s="27"/>
    </row>
    <row r="26" spans="1:16" ht="48" customHeight="1">
      <c r="A26">
        <v>0</v>
      </c>
      <c r="B26">
        <v>0</v>
      </c>
      <c r="C26">
        <v>0</v>
      </c>
      <c r="D26">
        <v>0</v>
      </c>
      <c r="F26" s="27">
        <f>IF(U6,IF(V2&lt;=1,"", IF(ISNA(C26),"",A26&amp; " - " &amp; C26)),"")</f>
        <v>0</v>
      </c>
      <c r="G26" s="27"/>
      <c r="H26" s="27"/>
      <c r="I26" s="27"/>
      <c r="J26" s="27"/>
      <c r="K26" s="27"/>
      <c r="L26" s="27"/>
      <c r="M26" s="27"/>
      <c r="N26" s="27"/>
      <c r="O26" s="27"/>
      <c r="P26" s="27"/>
    </row>
    <row r="27" spans="1:16" ht="48" customHeight="1">
      <c r="A27">
        <v>0</v>
      </c>
      <c r="B27">
        <v>0</v>
      </c>
      <c r="C27">
        <v>0</v>
      </c>
      <c r="D27">
        <v>0</v>
      </c>
      <c r="F27" s="27">
        <f>IF(U6,IF(V2&lt;=1,"", IF(ISNA(C27),"",A27&amp; " - " &amp; C27)),"")</f>
        <v>0</v>
      </c>
      <c r="G27" s="27"/>
      <c r="H27" s="27"/>
      <c r="I27" s="27"/>
      <c r="J27" s="27"/>
      <c r="K27" s="27"/>
      <c r="L27" s="27"/>
      <c r="M27" s="27"/>
      <c r="N27" s="27"/>
      <c r="O27" s="27"/>
      <c r="P27" s="27"/>
    </row>
    <row r="28" spans="1:16" ht="48" customHeight="1">
      <c r="A28">
        <v>0</v>
      </c>
      <c r="B28">
        <v>0</v>
      </c>
      <c r="C28">
        <v>0</v>
      </c>
      <c r="D28">
        <v>0</v>
      </c>
      <c r="F28" s="27">
        <f>IF(U6,IF(V2&lt;=1,"", IF(ISNA(C28),"",A28&amp; " - " &amp; C28)),"")</f>
        <v>0</v>
      </c>
      <c r="G28" s="27"/>
      <c r="H28" s="27"/>
      <c r="I28" s="27"/>
      <c r="J28" s="27"/>
      <c r="K28" s="27"/>
      <c r="L28" s="27"/>
      <c r="M28" s="27"/>
      <c r="N28" s="27"/>
      <c r="O28" s="27"/>
      <c r="P28" s="27"/>
    </row>
    <row r="29" spans="1:16" ht="48" customHeight="1">
      <c r="A29">
        <v>0</v>
      </c>
      <c r="B29">
        <v>0</v>
      </c>
      <c r="C29">
        <v>0</v>
      </c>
      <c r="D29">
        <v>0</v>
      </c>
      <c r="F29" s="27">
        <f>IF(U6,IF(V2&lt;=1,"", IF(ISNA(C29),"",A29&amp; " - " &amp; C29)),"")</f>
        <v>0</v>
      </c>
      <c r="G29" s="27"/>
      <c r="H29" s="27"/>
      <c r="I29" s="27"/>
      <c r="J29" s="27"/>
      <c r="K29" s="27"/>
      <c r="L29" s="27"/>
      <c r="M29" s="27"/>
      <c r="N29" s="27"/>
      <c r="O29" s="27"/>
      <c r="P29" s="27"/>
    </row>
    <row r="30" spans="1:16" ht="48" customHeight="1">
      <c r="A30">
        <v>0</v>
      </c>
      <c r="B30">
        <v>0</v>
      </c>
      <c r="C30">
        <v>0</v>
      </c>
      <c r="D30">
        <v>0</v>
      </c>
      <c r="F30" s="27">
        <f>IF(U6,IF(V2&lt;=1,"", IF(ISNA(C30),"",A30&amp; " - " &amp; C30)),"")</f>
        <v>0</v>
      </c>
      <c r="G30" s="27"/>
      <c r="H30" s="27"/>
      <c r="I30" s="27"/>
      <c r="J30" s="27"/>
      <c r="K30" s="27"/>
      <c r="L30" s="27"/>
      <c r="M30" s="27"/>
      <c r="N30" s="27"/>
      <c r="O30" s="27"/>
      <c r="P30" s="27"/>
    </row>
    <row r="31" spans="1:16" ht="48" customHeight="1">
      <c r="A31">
        <v>0</v>
      </c>
      <c r="B31">
        <v>0</v>
      </c>
      <c r="C31">
        <v>0</v>
      </c>
      <c r="D31">
        <v>0</v>
      </c>
      <c r="F31" s="27">
        <f>IF(U6,IF(V2&lt;=1,"", IF(ISNA(C31),"",A31&amp; " - " &amp; C31)),"")</f>
        <v>0</v>
      </c>
      <c r="G31" s="27"/>
      <c r="H31" s="27"/>
      <c r="I31" s="27"/>
      <c r="J31" s="27"/>
      <c r="K31" s="27"/>
      <c r="L31" s="27"/>
      <c r="M31" s="27"/>
      <c r="N31" s="27"/>
      <c r="O31" s="27"/>
      <c r="P31" s="27"/>
    </row>
    <row r="32" spans="1:16" ht="48" customHeight="1">
      <c r="A32">
        <v>0</v>
      </c>
      <c r="B32">
        <v>0</v>
      </c>
      <c r="C32">
        <v>0</v>
      </c>
      <c r="D32">
        <v>0</v>
      </c>
      <c r="F32" s="27">
        <f>IF(U6,IF(V2&lt;=1,"", IF(ISNA(C32),"",A32&amp; " - " &amp; C32)),"")</f>
        <v>0</v>
      </c>
      <c r="G32" s="27"/>
      <c r="H32" s="27"/>
      <c r="I32" s="27"/>
      <c r="J32" s="27"/>
      <c r="K32" s="27"/>
      <c r="L32" s="27"/>
      <c r="M32" s="27"/>
      <c r="N32" s="27"/>
      <c r="O32" s="27"/>
      <c r="P32" s="27"/>
    </row>
    <row r="33" spans="1:16" ht="48" customHeight="1">
      <c r="A33">
        <v>0</v>
      </c>
      <c r="B33">
        <v>0</v>
      </c>
      <c r="C33">
        <v>0</v>
      </c>
      <c r="D33">
        <v>0</v>
      </c>
      <c r="F33" s="27">
        <f>IF(U6,IF(V2&lt;=1,"", IF(ISNA(C33),"",A33&amp; " - " &amp; C33)),"")</f>
        <v>0</v>
      </c>
      <c r="G33" s="27"/>
      <c r="H33" s="27"/>
      <c r="I33" s="27"/>
      <c r="J33" s="27"/>
      <c r="K33" s="27"/>
      <c r="L33" s="27"/>
      <c r="M33" s="27"/>
      <c r="N33" s="27"/>
      <c r="O33" s="27"/>
      <c r="P33" s="27"/>
    </row>
    <row r="34" spans="1:16" ht="48" customHeight="1">
      <c r="A34">
        <v>0</v>
      </c>
      <c r="B34">
        <v>0</v>
      </c>
      <c r="C34">
        <v>0</v>
      </c>
      <c r="D34">
        <v>0</v>
      </c>
      <c r="F34" s="27">
        <f>IF(U6,IF(V2&lt;=1,"", IF(ISNA(C34),"",A34&amp; " - " &amp; C34)),"")</f>
        <v>0</v>
      </c>
      <c r="G34" s="27"/>
      <c r="H34" s="27"/>
      <c r="I34" s="27"/>
      <c r="J34" s="27"/>
      <c r="K34" s="27"/>
      <c r="L34" s="27"/>
      <c r="M34" s="27"/>
      <c r="N34" s="27"/>
      <c r="O34" s="27"/>
      <c r="P34" s="27"/>
    </row>
    <row r="35" spans="1:16" ht="48" customHeight="1">
      <c r="A35">
        <v>0</v>
      </c>
      <c r="B35">
        <v>0</v>
      </c>
      <c r="C35">
        <v>0</v>
      </c>
      <c r="D35">
        <v>0</v>
      </c>
      <c r="F35" s="27">
        <f>IF(U6,IF(V2&lt;=1,"", IF(ISNA(C35),"",A35&amp; " - " &amp; C35)),"")</f>
        <v>0</v>
      </c>
      <c r="G35" s="27"/>
      <c r="H35" s="27"/>
      <c r="I35" s="27"/>
      <c r="J35" s="27"/>
      <c r="K35" s="27"/>
      <c r="L35" s="27"/>
      <c r="M35" s="27"/>
      <c r="N35" s="27"/>
      <c r="O35" s="27"/>
      <c r="P35" s="27"/>
    </row>
    <row r="36" spans="1:16" ht="48" customHeight="1">
      <c r="A36">
        <v>0</v>
      </c>
      <c r="B36">
        <v>0</v>
      </c>
      <c r="C36">
        <v>0</v>
      </c>
      <c r="D36">
        <v>0</v>
      </c>
      <c r="F36" s="27">
        <f>IF(U6,IF(V2&lt;=1,"", IF(ISNA(C36),"",A36&amp; " - " &amp; C36)),"")</f>
        <v>0</v>
      </c>
      <c r="G36" s="27"/>
      <c r="H36" s="27"/>
      <c r="I36" s="27"/>
      <c r="J36" s="27"/>
      <c r="K36" s="27"/>
      <c r="L36" s="27"/>
      <c r="M36" s="27"/>
      <c r="N36" s="27"/>
      <c r="O36" s="27"/>
      <c r="P36" s="27"/>
    </row>
    <row r="37" spans="1:16" ht="48" customHeight="1">
      <c r="A37">
        <v>0</v>
      </c>
      <c r="B37">
        <v>0</v>
      </c>
      <c r="C37">
        <v>0</v>
      </c>
      <c r="D37">
        <v>0</v>
      </c>
      <c r="F37" s="27">
        <f>IF(U6,IF(V2&lt;=1,"", IF(ISNA(C37),"",A37&amp; " - " &amp; C37)),"")</f>
        <v>0</v>
      </c>
      <c r="G37" s="27"/>
      <c r="H37" s="27"/>
      <c r="I37" s="27"/>
      <c r="J37" s="27"/>
      <c r="K37" s="27"/>
      <c r="L37" s="27"/>
      <c r="M37" s="27"/>
      <c r="N37" s="27"/>
      <c r="O37" s="27"/>
      <c r="P37" s="27"/>
    </row>
    <row r="38" spans="1:16" ht="48" customHeight="1">
      <c r="A38">
        <v>0</v>
      </c>
      <c r="B38">
        <v>0</v>
      </c>
      <c r="C38">
        <v>0</v>
      </c>
      <c r="D38">
        <v>0</v>
      </c>
      <c r="F38" s="27">
        <f>IF(U6,IF(V2&lt;=1,"", IF(ISNA(C38),"",A38&amp; " - " &amp; C38)),"")</f>
        <v>0</v>
      </c>
      <c r="G38" s="27"/>
      <c r="H38" s="27"/>
      <c r="I38" s="27"/>
      <c r="J38" s="27"/>
      <c r="K38" s="27"/>
      <c r="L38" s="27"/>
      <c r="M38" s="27"/>
      <c r="N38" s="27"/>
      <c r="O38" s="27"/>
      <c r="P38" s="27"/>
    </row>
    <row r="39" spans="1:16" ht="48" customHeight="1">
      <c r="A39">
        <v>0</v>
      </c>
      <c r="B39">
        <v>0</v>
      </c>
      <c r="C39">
        <v>0</v>
      </c>
      <c r="D39">
        <v>0</v>
      </c>
      <c r="F39" s="27">
        <f>IF(U6,IF(V2&lt;=1,"", IF(ISNA(C39),"",A39&amp; " - " &amp; C39)),"")</f>
        <v>0</v>
      </c>
      <c r="G39" s="27"/>
      <c r="H39" s="27"/>
      <c r="I39" s="27"/>
      <c r="J39" s="27"/>
      <c r="K39" s="27"/>
      <c r="L39" s="27"/>
      <c r="M39" s="27"/>
      <c r="N39" s="27"/>
      <c r="O39" s="27"/>
      <c r="P39" s="27"/>
    </row>
    <row r="40" spans="1:16" ht="48" customHeight="1">
      <c r="A40">
        <v>0</v>
      </c>
      <c r="B40">
        <v>0</v>
      </c>
      <c r="C40">
        <v>0</v>
      </c>
      <c r="D40">
        <v>0</v>
      </c>
      <c r="F40" s="27">
        <f>IF(U6,IF(V2&lt;=1,"", IF(ISNA(C40),"",A40&amp; " - " &amp; C40)),"")</f>
        <v>0</v>
      </c>
      <c r="G40" s="27"/>
      <c r="H40" s="27"/>
      <c r="I40" s="27"/>
      <c r="J40" s="27"/>
      <c r="K40" s="27"/>
      <c r="L40" s="27"/>
      <c r="M40" s="27"/>
      <c r="N40" s="27"/>
      <c r="O40" s="27"/>
      <c r="P40" s="27"/>
    </row>
    <row r="41" spans="1:16" ht="48" customHeight="1">
      <c r="A41">
        <v>0</v>
      </c>
      <c r="B41">
        <v>0</v>
      </c>
      <c r="C41">
        <v>0</v>
      </c>
      <c r="D41">
        <v>0</v>
      </c>
      <c r="F41" s="27">
        <f>IF(U6,IF(V2&lt;=1,"", IF(ISNA(C41),"",A41&amp; " - " &amp; C41)),"")</f>
        <v>0</v>
      </c>
      <c r="G41" s="27"/>
      <c r="H41" s="27"/>
      <c r="I41" s="27"/>
      <c r="J41" s="27"/>
      <c r="K41" s="27"/>
      <c r="L41" s="27"/>
      <c r="M41" s="27"/>
      <c r="N41" s="27"/>
      <c r="O41" s="27"/>
      <c r="P41" s="27"/>
    </row>
    <row r="42" spans="1:16" ht="48" customHeight="1">
      <c r="A42">
        <v>0</v>
      </c>
      <c r="B42">
        <v>0</v>
      </c>
      <c r="C42">
        <v>0</v>
      </c>
      <c r="D42">
        <v>0</v>
      </c>
      <c r="F42" s="27">
        <f>IF(U6,IF(V2&lt;=1,"", IF(ISNA(C42),"",A42&amp; " - " &amp; C42)),"")</f>
        <v>0</v>
      </c>
      <c r="G42" s="27"/>
      <c r="H42" s="27"/>
      <c r="I42" s="27"/>
      <c r="J42" s="27"/>
      <c r="K42" s="27"/>
      <c r="L42" s="27"/>
      <c r="M42" s="27"/>
      <c r="N42" s="27"/>
      <c r="O42" s="27"/>
      <c r="P42" s="27"/>
    </row>
    <row r="43" spans="1:16" ht="48" customHeight="1">
      <c r="A43">
        <v>0</v>
      </c>
      <c r="B43">
        <v>0</v>
      </c>
      <c r="C43">
        <v>0</v>
      </c>
      <c r="D43">
        <v>0</v>
      </c>
      <c r="F43" s="27">
        <f>IF(U6,IF(V2&lt;=1,"", IF(ISNA(C43),"",A43&amp; " - " &amp; C43)),"")</f>
        <v>0</v>
      </c>
      <c r="G43" s="27"/>
      <c r="H43" s="27"/>
      <c r="I43" s="27"/>
      <c r="J43" s="27"/>
      <c r="K43" s="27"/>
      <c r="L43" s="27"/>
      <c r="M43" s="27"/>
      <c r="N43" s="27"/>
      <c r="O43" s="27"/>
      <c r="P43" s="27"/>
    </row>
    <row r="44" spans="1:16" ht="48" customHeight="1">
      <c r="A44">
        <v>0</v>
      </c>
      <c r="B44">
        <v>0</v>
      </c>
      <c r="C44">
        <v>0</v>
      </c>
      <c r="D44">
        <v>0</v>
      </c>
      <c r="F44" s="27">
        <f>IF(U6,IF(V2&lt;=1,"", IF(ISNA(C44),"",A44&amp; " - " &amp; C44)),"")</f>
        <v>0</v>
      </c>
      <c r="G44" s="27"/>
      <c r="H44" s="27"/>
      <c r="I44" s="27"/>
      <c r="J44" s="27"/>
      <c r="K44" s="27"/>
      <c r="L44" s="27"/>
      <c r="M44" s="27"/>
      <c r="N44" s="27"/>
      <c r="O44" s="27"/>
      <c r="P44" s="27"/>
    </row>
    <row r="45" spans="1:16" ht="48" customHeight="1">
      <c r="A45">
        <v>0</v>
      </c>
      <c r="B45">
        <v>0</v>
      </c>
      <c r="C45">
        <v>0</v>
      </c>
      <c r="D45">
        <v>0</v>
      </c>
      <c r="F45" s="27">
        <f>IF(U6,IF(V2&lt;=1,"", IF(ISNA(C45),"",A45&amp; " - " &amp; C45)),"")</f>
        <v>0</v>
      </c>
      <c r="G45" s="27"/>
      <c r="H45" s="27"/>
      <c r="I45" s="27"/>
      <c r="J45" s="27"/>
      <c r="K45" s="27"/>
      <c r="L45" s="27"/>
      <c r="M45" s="27"/>
      <c r="N45" s="27"/>
      <c r="O45" s="27"/>
      <c r="P45" s="27"/>
    </row>
    <row r="46" spans="1:16" ht="48" customHeight="1">
      <c r="A46">
        <v>0</v>
      </c>
      <c r="B46">
        <v>0</v>
      </c>
      <c r="C46">
        <v>0</v>
      </c>
      <c r="D46">
        <v>0</v>
      </c>
      <c r="F46" s="27">
        <f>IF(U6,IF(V2&lt;=1,"", IF(ISNA(C46),"",A46&amp; " - " &amp; C46)),"")</f>
        <v>0</v>
      </c>
      <c r="G46" s="27"/>
      <c r="H46" s="27"/>
      <c r="I46" s="27"/>
      <c r="J46" s="27"/>
      <c r="K46" s="27"/>
      <c r="L46" s="27"/>
      <c r="M46" s="27"/>
      <c r="N46" s="27"/>
      <c r="O46" s="27"/>
      <c r="P46" s="27"/>
    </row>
    <row r="47" spans="1:16" ht="48" customHeight="1">
      <c r="A47">
        <v>0</v>
      </c>
      <c r="B47">
        <v>0</v>
      </c>
      <c r="C47">
        <v>0</v>
      </c>
      <c r="D47">
        <v>0</v>
      </c>
      <c r="F47" s="27">
        <f>IF(U6,IF(V2&lt;=1,"", IF(ISNA(C47),"",A47&amp; " - " &amp; C47)),"")</f>
        <v>0</v>
      </c>
      <c r="G47" s="27"/>
      <c r="H47" s="27"/>
      <c r="I47" s="27"/>
      <c r="J47" s="27"/>
      <c r="K47" s="27"/>
      <c r="L47" s="27"/>
      <c r="M47" s="27"/>
      <c r="N47" s="27"/>
      <c r="O47" s="27"/>
      <c r="P47" s="27"/>
    </row>
    <row r="48" spans="1:16" ht="48" customHeight="1">
      <c r="A48">
        <v>0</v>
      </c>
      <c r="B48">
        <v>0</v>
      </c>
      <c r="C48">
        <v>0</v>
      </c>
      <c r="D48">
        <v>0</v>
      </c>
      <c r="F48" s="27">
        <f>IF(U6,IF(V2&lt;=1,"", IF(ISNA(C48),"",A48&amp; " - " &amp; C48)),"")</f>
        <v>0</v>
      </c>
      <c r="G48" s="27"/>
      <c r="H48" s="27"/>
      <c r="I48" s="27"/>
      <c r="J48" s="27"/>
      <c r="K48" s="27"/>
      <c r="L48" s="27"/>
      <c r="M48" s="27"/>
      <c r="N48" s="27"/>
      <c r="O48" s="27"/>
      <c r="P48" s="27"/>
    </row>
    <row r="49" spans="1:16" ht="48" customHeight="1">
      <c r="A49">
        <v>0</v>
      </c>
      <c r="B49">
        <v>0</v>
      </c>
      <c r="C49">
        <v>0</v>
      </c>
      <c r="D49">
        <v>0</v>
      </c>
      <c r="F49" s="27">
        <f>IF(U6,IF(V2&lt;=1,"", IF(ISNA(C49),"",A49&amp; " - " &amp; C49)),"")</f>
        <v>0</v>
      </c>
      <c r="G49" s="27"/>
      <c r="H49" s="27"/>
      <c r="I49" s="27"/>
      <c r="J49" s="27"/>
      <c r="K49" s="27"/>
      <c r="L49" s="27"/>
      <c r="M49" s="27"/>
      <c r="N49" s="27"/>
      <c r="O49" s="27"/>
      <c r="P49" s="27"/>
    </row>
    <row r="50" spans="1:16" ht="48" customHeight="1">
      <c r="A50">
        <v>0</v>
      </c>
      <c r="B50">
        <v>0</v>
      </c>
      <c r="C50">
        <v>0</v>
      </c>
      <c r="D50">
        <v>0</v>
      </c>
      <c r="F50" s="27">
        <f>IF(U6,IF(V2&lt;=1,"", IF(ISNA(C50),"",A50&amp; " - " &amp; C50)),"")</f>
        <v>0</v>
      </c>
      <c r="G50" s="27"/>
      <c r="H50" s="27"/>
      <c r="I50" s="27"/>
      <c r="J50" s="27"/>
      <c r="K50" s="27"/>
      <c r="L50" s="27"/>
      <c r="M50" s="27"/>
      <c r="N50" s="27"/>
      <c r="O50" s="27"/>
      <c r="P50" s="27"/>
    </row>
    <row r="51" spans="1:16" ht="48" customHeight="1">
      <c r="A51">
        <v>0</v>
      </c>
      <c r="B51">
        <v>0</v>
      </c>
      <c r="C51">
        <v>0</v>
      </c>
      <c r="D51">
        <v>0</v>
      </c>
      <c r="F51" s="27">
        <f>IF(U6,IF(V2&lt;=1,"", IF(ISNA(C51),"",A51&amp; " - " &amp; C51)),"")</f>
        <v>0</v>
      </c>
      <c r="G51" s="27"/>
      <c r="H51" s="27"/>
      <c r="I51" s="27"/>
      <c r="J51" s="27"/>
      <c r="K51" s="27"/>
      <c r="L51" s="27"/>
      <c r="M51" s="27"/>
      <c r="N51" s="27"/>
      <c r="O51" s="27"/>
      <c r="P51" s="27"/>
    </row>
    <row r="52" spans="1:16" ht="48" customHeight="1">
      <c r="A52">
        <v>0</v>
      </c>
      <c r="B52">
        <v>0</v>
      </c>
      <c r="C52">
        <v>0</v>
      </c>
      <c r="D52">
        <v>0</v>
      </c>
      <c r="F52" s="27">
        <f>IF(U6,IF(V2&lt;=1,"", IF(ISNA(C52),"",A52&amp; " - " &amp; C52)),"")</f>
        <v>0</v>
      </c>
      <c r="G52" s="27"/>
      <c r="H52" s="27"/>
      <c r="I52" s="27"/>
      <c r="J52" s="27"/>
      <c r="K52" s="27"/>
      <c r="L52" s="27"/>
      <c r="M52" s="27"/>
      <c r="N52" s="27"/>
      <c r="O52" s="27"/>
      <c r="P52" s="27"/>
    </row>
    <row r="53" spans="1:16" ht="48" customHeight="1">
      <c r="A53">
        <v>0</v>
      </c>
      <c r="B53">
        <v>0</v>
      </c>
      <c r="C53">
        <v>0</v>
      </c>
      <c r="D53">
        <v>0</v>
      </c>
      <c r="F53" s="27">
        <f>IF(U6,IF(V2&lt;=1,"", IF(ISNA(C53),"",A53&amp; " - " &amp; C53)),"")</f>
        <v>0</v>
      </c>
      <c r="G53" s="27"/>
      <c r="H53" s="27"/>
      <c r="I53" s="27"/>
      <c r="J53" s="27"/>
      <c r="K53" s="27"/>
      <c r="L53" s="27"/>
      <c r="M53" s="27"/>
      <c r="N53" s="27"/>
      <c r="O53" s="27"/>
      <c r="P53" s="27"/>
    </row>
    <row r="54" spans="1:16" ht="48" customHeight="1">
      <c r="A54">
        <v>0</v>
      </c>
      <c r="B54">
        <v>0</v>
      </c>
      <c r="C54">
        <v>0</v>
      </c>
      <c r="D54">
        <v>0</v>
      </c>
      <c r="F54" s="27">
        <f>IF(U6,IF(V2&lt;=1,"", IF(ISNA(C54),"",A54&amp; " - " &amp; C54)),"")</f>
        <v>0</v>
      </c>
      <c r="G54" s="27"/>
      <c r="H54" s="27"/>
      <c r="I54" s="27"/>
      <c r="J54" s="27"/>
      <c r="K54" s="27"/>
      <c r="L54" s="27"/>
      <c r="M54" s="27"/>
      <c r="N54" s="27"/>
      <c r="O54" s="27"/>
      <c r="P54" s="27"/>
    </row>
    <row r="55" spans="1:16" ht="48" customHeight="1">
      <c r="A55">
        <v>0</v>
      </c>
      <c r="B55">
        <v>0</v>
      </c>
      <c r="C55">
        <v>0</v>
      </c>
      <c r="D55">
        <v>0</v>
      </c>
      <c r="F55" s="27">
        <f>IF(U6,IF(V2&lt;=1,"", IF(ISNA(C55),"",A55&amp; " - " &amp; C55)),"")</f>
        <v>0</v>
      </c>
      <c r="G55" s="27"/>
      <c r="H55" s="27"/>
      <c r="I55" s="27"/>
      <c r="J55" s="27"/>
      <c r="K55" s="27"/>
      <c r="L55" s="27"/>
      <c r="M55" s="27"/>
      <c r="N55" s="27"/>
      <c r="O55" s="27"/>
      <c r="P55" s="27"/>
    </row>
    <row r="56" spans="1:16" ht="48" customHeight="1">
      <c r="A56">
        <v>0</v>
      </c>
      <c r="B56">
        <v>0</v>
      </c>
      <c r="C56">
        <v>0</v>
      </c>
      <c r="D56">
        <v>0</v>
      </c>
      <c r="F56" s="27">
        <f>IF(U6,IF(V2&lt;=1,"", IF(ISNA(C56),"",A56&amp; " - " &amp; C56)),"")</f>
        <v>0</v>
      </c>
      <c r="G56" s="27"/>
      <c r="H56" s="27"/>
      <c r="I56" s="27"/>
      <c r="J56" s="27"/>
      <c r="K56" s="27"/>
      <c r="L56" s="27"/>
      <c r="M56" s="27"/>
      <c r="N56" s="27"/>
      <c r="O56" s="27"/>
      <c r="P56" s="27"/>
    </row>
    <row r="57" spans="1:16" ht="48" customHeight="1">
      <c r="A57">
        <v>0</v>
      </c>
      <c r="B57">
        <v>0</v>
      </c>
      <c r="C57">
        <v>0</v>
      </c>
      <c r="D57">
        <v>0</v>
      </c>
      <c r="F57" s="27">
        <f>IF(U6,IF(V2&lt;=1,"", IF(ISNA(C57),"",A57&amp; " - " &amp; C57)),"")</f>
        <v>0</v>
      </c>
      <c r="G57" s="27"/>
      <c r="H57" s="27"/>
      <c r="I57" s="27"/>
      <c r="J57" s="27"/>
      <c r="K57" s="27"/>
      <c r="L57" s="27"/>
      <c r="M57" s="27"/>
      <c r="N57" s="27"/>
      <c r="O57" s="27"/>
      <c r="P57" s="27"/>
    </row>
    <row r="58" spans="1:16" ht="48" customHeight="1">
      <c r="A58">
        <v>0</v>
      </c>
      <c r="B58">
        <v>0</v>
      </c>
      <c r="C58">
        <v>0</v>
      </c>
      <c r="D58">
        <v>0</v>
      </c>
      <c r="F58" s="27">
        <f>IF(U6,IF(V2&lt;=1,"", IF(ISNA(C58),"",A58&amp; " - " &amp; C58)),"")</f>
        <v>0</v>
      </c>
      <c r="G58" s="27"/>
      <c r="H58" s="27"/>
      <c r="I58" s="27"/>
      <c r="J58" s="27"/>
      <c r="K58" s="27"/>
      <c r="L58" s="27"/>
      <c r="M58" s="27"/>
      <c r="N58" s="27"/>
      <c r="O58" s="27"/>
      <c r="P58" s="27"/>
    </row>
    <row r="59" spans="1:16" ht="48" customHeight="1">
      <c r="A59">
        <v>0</v>
      </c>
      <c r="B59">
        <v>0</v>
      </c>
      <c r="C59">
        <v>0</v>
      </c>
      <c r="D59">
        <v>0</v>
      </c>
      <c r="F59" s="27">
        <f>IF(U6,IF(V2&lt;=1,"", IF(ISNA(C59),"",A59&amp; " - " &amp; C59)),"")</f>
        <v>0</v>
      </c>
      <c r="G59" s="27"/>
      <c r="H59" s="27"/>
      <c r="I59" s="27"/>
      <c r="J59" s="27"/>
      <c r="K59" s="27"/>
      <c r="L59" s="27"/>
      <c r="M59" s="27"/>
      <c r="N59" s="27"/>
      <c r="O59" s="27"/>
      <c r="P59" s="27"/>
    </row>
    <row r="60" spans="1:16" ht="48" customHeight="1">
      <c r="A60">
        <v>0</v>
      </c>
      <c r="B60">
        <v>0</v>
      </c>
      <c r="C60">
        <v>0</v>
      </c>
      <c r="D60">
        <v>0</v>
      </c>
      <c r="F60" s="27">
        <f>IF(U6,IF(V2&lt;=1,"", IF(ISNA(C60),"",A60&amp; " - " &amp; C60)),"")</f>
        <v>0</v>
      </c>
      <c r="G60" s="27"/>
      <c r="H60" s="27"/>
      <c r="I60" s="27"/>
      <c r="J60" s="27"/>
      <c r="K60" s="27"/>
      <c r="L60" s="27"/>
      <c r="M60" s="27"/>
      <c r="N60" s="27"/>
      <c r="O60" s="27"/>
      <c r="P60" s="27"/>
    </row>
    <row r="61" spans="1:16" ht="48" customHeight="1">
      <c r="A61">
        <v>0</v>
      </c>
      <c r="B61">
        <v>0</v>
      </c>
      <c r="C61">
        <v>0</v>
      </c>
      <c r="D61">
        <v>0</v>
      </c>
      <c r="F61" s="27">
        <f>IF(U6,IF(V2&lt;=1,"", IF(ISNA(C61),"",A61&amp; " - " &amp; C61)),"")</f>
        <v>0</v>
      </c>
      <c r="G61" s="27"/>
      <c r="H61" s="27"/>
      <c r="I61" s="27"/>
      <c r="J61" s="27"/>
      <c r="K61" s="27"/>
      <c r="L61" s="27"/>
      <c r="M61" s="27"/>
      <c r="N61" s="27"/>
      <c r="O61" s="27"/>
      <c r="P61" s="27"/>
    </row>
    <row r="62" spans="1:16" ht="48" customHeight="1">
      <c r="A62">
        <v>0</v>
      </c>
      <c r="B62">
        <v>0</v>
      </c>
      <c r="C62">
        <v>0</v>
      </c>
      <c r="D62">
        <v>0</v>
      </c>
      <c r="F62" s="27">
        <f>IF(U6,IF(V2&lt;=1,"", IF(ISNA(C62),"",A62&amp; " - " &amp; C62)),"")</f>
        <v>0</v>
      </c>
      <c r="G62" s="27"/>
      <c r="H62" s="27"/>
      <c r="I62" s="27"/>
      <c r="J62" s="27"/>
      <c r="K62" s="27"/>
      <c r="L62" s="27"/>
      <c r="M62" s="27"/>
      <c r="N62" s="27"/>
      <c r="O62" s="27"/>
      <c r="P62" s="27"/>
    </row>
    <row r="63" spans="1:16" ht="48" customHeight="1">
      <c r="A63">
        <v>0</v>
      </c>
      <c r="B63">
        <v>0</v>
      </c>
      <c r="C63">
        <v>0</v>
      </c>
      <c r="D63">
        <v>0</v>
      </c>
      <c r="F63" s="27">
        <f>IF(U6,IF(V2&lt;=1,"", IF(ISNA(C63),"",A63&amp; " - " &amp; C63)),"")</f>
        <v>0</v>
      </c>
      <c r="G63" s="27"/>
      <c r="H63" s="27"/>
      <c r="I63" s="27"/>
      <c r="J63" s="27"/>
      <c r="K63" s="27"/>
      <c r="L63" s="27"/>
      <c r="M63" s="27"/>
      <c r="N63" s="27"/>
      <c r="O63" s="27"/>
      <c r="P63" s="27"/>
    </row>
    <row r="64" spans="1:16" ht="48" customHeight="1">
      <c r="A64">
        <v>0</v>
      </c>
      <c r="B64">
        <v>0</v>
      </c>
      <c r="C64">
        <v>0</v>
      </c>
      <c r="D64">
        <v>0</v>
      </c>
      <c r="F64" s="27">
        <f>IF(U6,IF(V2&lt;=1,"", IF(ISNA(C64),"",A64&amp; " - " &amp; C64)),"")</f>
        <v>0</v>
      </c>
      <c r="G64" s="27"/>
      <c r="H64" s="27"/>
      <c r="I64" s="27"/>
      <c r="J64" s="27"/>
      <c r="K64" s="27"/>
      <c r="L64" s="27"/>
      <c r="M64" s="27"/>
      <c r="N64" s="27"/>
      <c r="O64" s="27"/>
      <c r="P64" s="27"/>
    </row>
    <row r="65" spans="1:16" ht="48" customHeight="1">
      <c r="A65">
        <v>0</v>
      </c>
      <c r="B65">
        <v>0</v>
      </c>
      <c r="C65">
        <v>0</v>
      </c>
      <c r="D65">
        <v>0</v>
      </c>
      <c r="F65" s="27">
        <f>IF(U6,IF(V2&lt;=1,"", IF(ISNA(C65),"",A65&amp; " - " &amp; C65)),"")</f>
        <v>0</v>
      </c>
      <c r="G65" s="27"/>
      <c r="H65" s="27"/>
      <c r="I65" s="27"/>
      <c r="J65" s="27"/>
      <c r="K65" s="27"/>
      <c r="L65" s="27"/>
      <c r="M65" s="27"/>
      <c r="N65" s="27"/>
      <c r="O65" s="27"/>
      <c r="P65" s="27"/>
    </row>
    <row r="66" spans="1:16" ht="48" customHeight="1">
      <c r="A66">
        <v>0</v>
      </c>
      <c r="B66">
        <v>0</v>
      </c>
      <c r="C66">
        <v>0</v>
      </c>
      <c r="D66">
        <v>0</v>
      </c>
      <c r="F66" s="27">
        <f>IF(U6,IF(V2&lt;=1,"", IF(ISNA(C66),"",A66&amp; " - " &amp; C66)),"")</f>
        <v>0</v>
      </c>
      <c r="G66" s="27"/>
      <c r="H66" s="27"/>
      <c r="I66" s="27"/>
      <c r="J66" s="27"/>
      <c r="K66" s="27"/>
      <c r="L66" s="27"/>
      <c r="M66" s="27"/>
      <c r="N66" s="27"/>
      <c r="O66" s="27"/>
      <c r="P66" s="27"/>
    </row>
    <row r="67" spans="1:16" ht="48" customHeight="1">
      <c r="A67">
        <v>0</v>
      </c>
      <c r="B67">
        <v>0</v>
      </c>
      <c r="C67">
        <v>0</v>
      </c>
      <c r="D67">
        <v>0</v>
      </c>
      <c r="F67" s="27">
        <f>IF(U6,IF(V2&lt;=1,"", IF(ISNA(C67),"",A67&amp; " - " &amp; C67)),"")</f>
        <v>0</v>
      </c>
      <c r="G67" s="27"/>
      <c r="H67" s="27"/>
      <c r="I67" s="27"/>
      <c r="J67" s="27"/>
      <c r="K67" s="27"/>
      <c r="L67" s="27"/>
      <c r="M67" s="27"/>
      <c r="N67" s="27"/>
      <c r="O67" s="27"/>
      <c r="P67" s="27"/>
    </row>
    <row r="68" spans="1:16" ht="48" customHeight="1">
      <c r="A68">
        <v>0</v>
      </c>
      <c r="B68">
        <v>0</v>
      </c>
      <c r="C68">
        <v>0</v>
      </c>
      <c r="D68">
        <v>0</v>
      </c>
      <c r="F68" s="27">
        <f>IF(U6,IF(V2&lt;=1,"", IF(ISNA(C68),"",A68&amp; " - " &amp; C68)),"")</f>
        <v>0</v>
      </c>
      <c r="G68" s="27"/>
      <c r="H68" s="27"/>
      <c r="I68" s="27"/>
      <c r="J68" s="27"/>
      <c r="K68" s="27"/>
      <c r="L68" s="27"/>
      <c r="M68" s="27"/>
      <c r="N68" s="27"/>
      <c r="O68" s="27"/>
      <c r="P68" s="27"/>
    </row>
    <row r="69" spans="1:16" ht="48" customHeight="1">
      <c r="A69">
        <v>0</v>
      </c>
      <c r="B69">
        <v>0</v>
      </c>
      <c r="C69">
        <v>0</v>
      </c>
      <c r="D69">
        <v>0</v>
      </c>
      <c r="F69" s="27">
        <f>IF(U6,IF(V2&lt;=1,"", IF(ISNA(C69),"",A69&amp; " - " &amp; C69)),"")</f>
        <v>0</v>
      </c>
      <c r="G69" s="27"/>
      <c r="H69" s="27"/>
      <c r="I69" s="27"/>
      <c r="J69" s="27"/>
      <c r="K69" s="27"/>
      <c r="L69" s="27"/>
      <c r="M69" s="27"/>
      <c r="N69" s="27"/>
      <c r="O69" s="27"/>
      <c r="P69" s="27"/>
    </row>
    <row r="70" spans="1:16" ht="48" customHeight="1">
      <c r="A70">
        <v>0</v>
      </c>
      <c r="B70">
        <v>0</v>
      </c>
      <c r="C70">
        <v>0</v>
      </c>
      <c r="D70">
        <v>0</v>
      </c>
      <c r="F70" s="27">
        <f>IF(U6,IF(V2&lt;=1,"", IF(ISNA(C70),"",A70&amp; " - " &amp; C70)),"")</f>
        <v>0</v>
      </c>
      <c r="G70" s="27"/>
      <c r="H70" s="27"/>
      <c r="I70" s="27"/>
      <c r="J70" s="27"/>
      <c r="K70" s="27"/>
      <c r="L70" s="27"/>
      <c r="M70" s="27"/>
      <c r="N70" s="27"/>
      <c r="O70" s="27"/>
      <c r="P70" s="27"/>
    </row>
    <row r="71" spans="1:16" ht="48" customHeight="1">
      <c r="A71">
        <v>0</v>
      </c>
      <c r="B71">
        <v>0</v>
      </c>
      <c r="C71">
        <v>0</v>
      </c>
      <c r="D71">
        <v>0</v>
      </c>
      <c r="F71" s="27">
        <f>IF(U6,IF(V2&lt;=1,"", IF(ISNA(C71),"",A71&amp; " - " &amp; C71)),"")</f>
        <v>0</v>
      </c>
      <c r="G71" s="27"/>
      <c r="H71" s="27"/>
      <c r="I71" s="27"/>
      <c r="J71" s="27"/>
      <c r="K71" s="27"/>
      <c r="L71" s="27"/>
      <c r="M71" s="27"/>
      <c r="N71" s="27"/>
      <c r="O71" s="27"/>
      <c r="P71" s="27"/>
    </row>
    <row r="72" spans="1:16" ht="48" customHeight="1">
      <c r="A72">
        <v>0</v>
      </c>
      <c r="B72">
        <v>0</v>
      </c>
      <c r="C72">
        <v>0</v>
      </c>
      <c r="D72">
        <v>0</v>
      </c>
      <c r="F72" s="27">
        <f>IF(U6,IF(V2&lt;=1,"", IF(ISNA(C72),"",A72&amp; " - " &amp; C72)),"")</f>
        <v>0</v>
      </c>
      <c r="G72" s="27"/>
      <c r="H72" s="27"/>
      <c r="I72" s="27"/>
      <c r="J72" s="27"/>
      <c r="K72" s="27"/>
      <c r="L72" s="27"/>
      <c r="M72" s="27"/>
      <c r="N72" s="27"/>
      <c r="O72" s="27"/>
      <c r="P72" s="27"/>
    </row>
    <row r="73" spans="1:16" ht="48" customHeight="1">
      <c r="A73">
        <v>0</v>
      </c>
      <c r="B73">
        <v>0</v>
      </c>
      <c r="C73">
        <v>0</v>
      </c>
      <c r="D73">
        <v>0</v>
      </c>
      <c r="F73" s="27">
        <f>IF(U6,IF(V2&lt;=1,"", IF(ISNA(C73),"",A73&amp; " - " &amp; C73)),"")</f>
        <v>0</v>
      </c>
      <c r="G73" s="27"/>
      <c r="H73" s="27"/>
      <c r="I73" s="27"/>
      <c r="J73" s="27"/>
      <c r="K73" s="27"/>
      <c r="L73" s="27"/>
      <c r="M73" s="27"/>
      <c r="N73" s="27"/>
      <c r="O73" s="27"/>
      <c r="P73" s="27"/>
    </row>
    <row r="74" spans="1:16" ht="48" customHeight="1">
      <c r="A74">
        <v>0</v>
      </c>
      <c r="B74">
        <v>0</v>
      </c>
      <c r="C74">
        <v>0</v>
      </c>
      <c r="D74">
        <v>0</v>
      </c>
      <c r="F74" s="27">
        <f>IF(U6,IF(V2&lt;=1,"", IF(ISNA(C74),"",A74&amp; " - " &amp; C74)),"")</f>
        <v>0</v>
      </c>
      <c r="G74" s="27"/>
      <c r="H74" s="27"/>
      <c r="I74" s="27"/>
      <c r="J74" s="27"/>
      <c r="K74" s="27"/>
      <c r="L74" s="27"/>
      <c r="M74" s="27"/>
      <c r="N74" s="27"/>
      <c r="O74" s="27"/>
      <c r="P74" s="27"/>
    </row>
    <row r="75" spans="1:16" ht="48" customHeight="1">
      <c r="A75">
        <v>0</v>
      </c>
      <c r="B75">
        <v>0</v>
      </c>
      <c r="C75">
        <v>0</v>
      </c>
      <c r="D75">
        <v>0</v>
      </c>
      <c r="F75" s="27">
        <f>IF(U6,IF(V2&lt;=1,"", IF(ISNA(C75),"",A75&amp; " - " &amp; C75)),"")</f>
        <v>0</v>
      </c>
      <c r="G75" s="27"/>
      <c r="H75" s="27"/>
      <c r="I75" s="27"/>
      <c r="J75" s="27"/>
      <c r="K75" s="27"/>
      <c r="L75" s="27"/>
      <c r="M75" s="27"/>
      <c r="N75" s="27"/>
      <c r="O75" s="27"/>
      <c r="P75" s="27"/>
    </row>
    <row r="76" spans="1:16" ht="48" customHeight="1">
      <c r="A76">
        <v>0</v>
      </c>
      <c r="B76">
        <v>0</v>
      </c>
      <c r="C76">
        <v>0</v>
      </c>
      <c r="D76">
        <v>0</v>
      </c>
      <c r="F76" s="27">
        <f>IF(U6,IF(V2&lt;=1,"", IF(ISNA(C76),"",A76&amp; " - " &amp; C76)),"")</f>
        <v>0</v>
      </c>
      <c r="G76" s="27"/>
      <c r="H76" s="27"/>
      <c r="I76" s="27"/>
      <c r="J76" s="27"/>
      <c r="K76" s="27"/>
      <c r="L76" s="27"/>
      <c r="M76" s="27"/>
      <c r="N76" s="27"/>
      <c r="O76" s="27"/>
      <c r="P76" s="27"/>
    </row>
    <row r="77" spans="1:16" ht="48" customHeight="1">
      <c r="A77">
        <v>0</v>
      </c>
      <c r="B77">
        <v>0</v>
      </c>
      <c r="C77">
        <v>0</v>
      </c>
      <c r="D77">
        <v>0</v>
      </c>
      <c r="F77" s="27">
        <f>IF(U6,IF(V2&lt;=1,"", IF(ISNA(C77),"",A77&amp; " - " &amp; C77)),"")</f>
        <v>0</v>
      </c>
      <c r="G77" s="27"/>
      <c r="H77" s="27"/>
      <c r="I77" s="27"/>
      <c r="J77" s="27"/>
      <c r="K77" s="27"/>
      <c r="L77" s="27"/>
      <c r="M77" s="27"/>
      <c r="N77" s="27"/>
      <c r="O77" s="27"/>
      <c r="P77" s="27"/>
    </row>
    <row r="78" spans="1:16" ht="48" customHeight="1">
      <c r="A78">
        <v>0</v>
      </c>
      <c r="B78">
        <v>0</v>
      </c>
      <c r="C78">
        <v>0</v>
      </c>
      <c r="D78">
        <v>0</v>
      </c>
      <c r="F78" s="27">
        <f>IF(U6,IF(V2&lt;=1,"", IF(ISNA(C78),"",A78&amp; " - " &amp; C78)),"")</f>
        <v>0</v>
      </c>
      <c r="G78" s="27"/>
      <c r="H78" s="27"/>
      <c r="I78" s="27"/>
      <c r="J78" s="27"/>
      <c r="K78" s="27"/>
      <c r="L78" s="27"/>
      <c r="M78" s="27"/>
      <c r="N78" s="27"/>
      <c r="O78" s="27"/>
      <c r="P78" s="27"/>
    </row>
    <row r="79" spans="1:16" ht="48" customHeight="1">
      <c r="A79">
        <v>0</v>
      </c>
      <c r="B79">
        <v>0</v>
      </c>
      <c r="C79">
        <v>0</v>
      </c>
      <c r="D79">
        <v>0</v>
      </c>
      <c r="F79" s="27">
        <f>IF(U6,IF(V2&lt;=1,"", IF(ISNA(C79),"",A79&amp; " - " &amp; C79)),"")</f>
        <v>0</v>
      </c>
      <c r="G79" s="27"/>
      <c r="H79" s="27"/>
      <c r="I79" s="27"/>
      <c r="J79" s="27"/>
      <c r="K79" s="27"/>
      <c r="L79" s="27"/>
      <c r="M79" s="27"/>
      <c r="N79" s="27"/>
      <c r="O79" s="27"/>
      <c r="P79" s="27"/>
    </row>
    <row r="80" spans="1:16" ht="48" customHeight="1">
      <c r="A80">
        <v>0</v>
      </c>
      <c r="B80">
        <v>0</v>
      </c>
      <c r="C80">
        <v>0</v>
      </c>
      <c r="D80">
        <v>0</v>
      </c>
      <c r="F80" s="27">
        <f>IF(U6,IF(V2&lt;=1,"", IF(ISNA(C80),"",A80&amp; " - " &amp; C80)),"")</f>
        <v>0</v>
      </c>
      <c r="G80" s="27"/>
      <c r="H80" s="27"/>
      <c r="I80" s="27"/>
      <c r="J80" s="27"/>
      <c r="K80" s="27"/>
      <c r="L80" s="27"/>
      <c r="M80" s="27"/>
      <c r="N80" s="27"/>
      <c r="O80" s="27"/>
      <c r="P80" s="27"/>
    </row>
    <row r="81" spans="1:16" ht="48" customHeight="1">
      <c r="A81">
        <v>0</v>
      </c>
      <c r="B81">
        <v>0</v>
      </c>
      <c r="C81">
        <v>0</v>
      </c>
      <c r="D81">
        <v>0</v>
      </c>
      <c r="F81" s="27">
        <f>IF(U6,IF(V2&lt;=1,"", IF(ISNA(C81),"",A81&amp; " - " &amp; C81)),"")</f>
        <v>0</v>
      </c>
      <c r="G81" s="27"/>
      <c r="H81" s="27"/>
      <c r="I81" s="27"/>
      <c r="J81" s="27"/>
      <c r="K81" s="27"/>
      <c r="L81" s="27"/>
      <c r="M81" s="27"/>
      <c r="N81" s="27"/>
      <c r="O81" s="27"/>
      <c r="P81" s="27"/>
    </row>
    <row r="82" spans="1:16" ht="48" customHeight="1">
      <c r="A82">
        <v>0</v>
      </c>
      <c r="B82">
        <v>0</v>
      </c>
      <c r="C82">
        <v>0</v>
      </c>
      <c r="D82">
        <v>0</v>
      </c>
      <c r="F82" s="27">
        <f>IF(U6,IF(V2&lt;=1,"", IF(ISNA(C82),"",A82&amp; " - " &amp; C82)),"")</f>
        <v>0</v>
      </c>
      <c r="G82" s="27"/>
      <c r="H82" s="27"/>
      <c r="I82" s="27"/>
      <c r="J82" s="27"/>
      <c r="K82" s="27"/>
      <c r="L82" s="27"/>
      <c r="M82" s="27"/>
      <c r="N82" s="27"/>
      <c r="O82" s="27"/>
      <c r="P82" s="27"/>
    </row>
    <row r="83" spans="1:16" ht="48" customHeight="1">
      <c r="A83">
        <v>0</v>
      </c>
      <c r="B83">
        <v>0</v>
      </c>
      <c r="C83">
        <v>0</v>
      </c>
      <c r="D83">
        <v>0</v>
      </c>
      <c r="F83" s="27">
        <f>IF(U6,IF(V2&lt;=1,"", IF(ISNA(C83),"",A83&amp; " - " &amp; C83)),"")</f>
        <v>0</v>
      </c>
      <c r="G83" s="27"/>
      <c r="H83" s="27"/>
      <c r="I83" s="27"/>
      <c r="J83" s="27"/>
      <c r="K83" s="27"/>
      <c r="L83" s="27"/>
      <c r="M83" s="27"/>
      <c r="N83" s="27"/>
      <c r="O83" s="27"/>
      <c r="P83" s="27"/>
    </row>
    <row r="84" spans="1:16" ht="48" customHeight="1">
      <c r="A84">
        <v>0</v>
      </c>
      <c r="B84">
        <v>0</v>
      </c>
      <c r="C84">
        <v>0</v>
      </c>
      <c r="D84">
        <v>0</v>
      </c>
      <c r="F84" s="27">
        <f>IF(U6,IF(V2&lt;=1,"", IF(ISNA(C84),"",A84&amp; " - " &amp; C84)),"")</f>
        <v>0</v>
      </c>
      <c r="G84" s="27"/>
      <c r="H84" s="27"/>
      <c r="I84" s="27"/>
      <c r="J84" s="27"/>
      <c r="K84" s="27"/>
      <c r="L84" s="27"/>
      <c r="M84" s="27"/>
      <c r="N84" s="27"/>
      <c r="O84" s="27"/>
      <c r="P84" s="27"/>
    </row>
    <row r="85" spans="1:16" ht="48" customHeight="1">
      <c r="A85">
        <v>0</v>
      </c>
      <c r="B85">
        <v>0</v>
      </c>
      <c r="C85">
        <v>0</v>
      </c>
      <c r="D85">
        <v>0</v>
      </c>
      <c r="F85" s="27">
        <f>IF(U6,IF(V2&lt;=1,"", IF(ISNA(C85),"",A85&amp; " - " &amp; C85)),"")</f>
        <v>0</v>
      </c>
      <c r="G85" s="27"/>
      <c r="H85" s="27"/>
      <c r="I85" s="27"/>
      <c r="J85" s="27"/>
      <c r="K85" s="27"/>
      <c r="L85" s="27"/>
      <c r="M85" s="27"/>
      <c r="N85" s="27"/>
      <c r="O85" s="27"/>
      <c r="P85" s="27"/>
    </row>
    <row r="86" spans="1:16" ht="48" customHeight="1">
      <c r="A86">
        <v>0</v>
      </c>
      <c r="B86">
        <v>0</v>
      </c>
      <c r="C86">
        <v>0</v>
      </c>
      <c r="D86">
        <v>0</v>
      </c>
      <c r="F86" s="27">
        <f>IF(U6,IF(V2&lt;=1,"", IF(ISNA(C86),"",A86&amp; " - " &amp; C86)),"")</f>
        <v>0</v>
      </c>
      <c r="G86" s="27"/>
      <c r="H86" s="27"/>
      <c r="I86" s="27"/>
      <c r="J86" s="27"/>
      <c r="K86" s="27"/>
      <c r="L86" s="27"/>
      <c r="M86" s="27"/>
      <c r="N86" s="27"/>
      <c r="O86" s="27"/>
      <c r="P86" s="27"/>
    </row>
    <row r="87" spans="1:16" ht="48" customHeight="1">
      <c r="A87">
        <v>0</v>
      </c>
      <c r="B87">
        <v>0</v>
      </c>
      <c r="C87">
        <v>0</v>
      </c>
      <c r="D87">
        <v>0</v>
      </c>
      <c r="F87" s="27">
        <f>IF(U6,IF(V2&lt;=1,"", IF(ISNA(C87),"",A87&amp; " - " &amp; C87)),"")</f>
        <v>0</v>
      </c>
      <c r="G87" s="27"/>
      <c r="H87" s="27"/>
      <c r="I87" s="27"/>
      <c r="J87" s="27"/>
      <c r="K87" s="27"/>
      <c r="L87" s="27"/>
      <c r="M87" s="27"/>
      <c r="N87" s="27"/>
      <c r="O87" s="27"/>
      <c r="P87" s="27"/>
    </row>
    <row r="88" spans="1:16" ht="48" customHeight="1">
      <c r="A88">
        <v>0</v>
      </c>
      <c r="B88">
        <v>0</v>
      </c>
      <c r="C88">
        <v>0</v>
      </c>
      <c r="D88">
        <v>0</v>
      </c>
      <c r="F88" s="27">
        <f>IF(U6,IF(V2&lt;=1,"", IF(ISNA(C88),"",A88&amp; " - " &amp; C88)),"")</f>
        <v>0</v>
      </c>
      <c r="G88" s="27"/>
      <c r="H88" s="27"/>
      <c r="I88" s="27"/>
      <c r="J88" s="27"/>
      <c r="K88" s="27"/>
      <c r="L88" s="27"/>
      <c r="M88" s="27"/>
      <c r="N88" s="27"/>
      <c r="O88" s="27"/>
      <c r="P88" s="27"/>
    </row>
    <row r="89" spans="1:16" ht="48" customHeight="1">
      <c r="A89">
        <v>0</v>
      </c>
      <c r="B89">
        <v>0</v>
      </c>
      <c r="C89">
        <v>0</v>
      </c>
      <c r="D89">
        <v>0</v>
      </c>
      <c r="F89" s="27">
        <f>IF(U6,IF(V2&lt;=1,"", IF(ISNA(C89),"",A89&amp; " - " &amp; C89)),"")</f>
        <v>0</v>
      </c>
      <c r="G89" s="27"/>
      <c r="H89" s="27"/>
      <c r="I89" s="27"/>
      <c r="J89" s="27"/>
      <c r="K89" s="27"/>
      <c r="L89" s="27"/>
      <c r="M89" s="27"/>
      <c r="N89" s="27"/>
      <c r="O89" s="27"/>
      <c r="P89" s="27"/>
    </row>
    <row r="90" spans="1:16" ht="48" customHeight="1">
      <c r="A90">
        <v>0</v>
      </c>
      <c r="B90">
        <v>0</v>
      </c>
      <c r="C90">
        <v>0</v>
      </c>
      <c r="D90">
        <v>0</v>
      </c>
      <c r="F90" s="27">
        <f>IF(U6,IF(V2&lt;=1,"", IF(ISNA(C90),"",A90&amp; " - " &amp; C90)),"")</f>
        <v>0</v>
      </c>
      <c r="G90" s="27"/>
      <c r="H90" s="27"/>
      <c r="I90" s="27"/>
      <c r="J90" s="27"/>
      <c r="K90" s="27"/>
      <c r="L90" s="27"/>
      <c r="M90" s="27"/>
      <c r="N90" s="27"/>
      <c r="O90" s="27"/>
      <c r="P90" s="27"/>
    </row>
    <row r="91" spans="1:16" ht="48" customHeight="1">
      <c r="A91">
        <v>0</v>
      </c>
      <c r="B91">
        <v>0</v>
      </c>
      <c r="C91">
        <v>0</v>
      </c>
      <c r="D91">
        <v>0</v>
      </c>
      <c r="F91" s="27">
        <f>IF(U6,IF(V2&lt;=1,"", IF(ISNA(C91),"",A91&amp; " - " &amp; C91)),"")</f>
        <v>0</v>
      </c>
      <c r="G91" s="27"/>
      <c r="H91" s="27"/>
      <c r="I91" s="27"/>
      <c r="J91" s="27"/>
      <c r="K91" s="27"/>
      <c r="L91" s="27"/>
      <c r="M91" s="27"/>
      <c r="N91" s="27"/>
      <c r="O91" s="27"/>
      <c r="P91" s="27"/>
    </row>
    <row r="92" spans="1:16" ht="48" customHeight="1">
      <c r="A92">
        <v>0</v>
      </c>
      <c r="B92">
        <v>0</v>
      </c>
      <c r="C92">
        <v>0</v>
      </c>
      <c r="D92">
        <v>0</v>
      </c>
      <c r="F92" s="27">
        <f>IF(U6,IF(V2&lt;=1,"", IF(ISNA(C92),"",A92&amp; " - " &amp; C92)),"")</f>
        <v>0</v>
      </c>
      <c r="G92" s="27"/>
      <c r="H92" s="27"/>
      <c r="I92" s="27"/>
      <c r="J92" s="27"/>
      <c r="K92" s="27"/>
      <c r="L92" s="27"/>
      <c r="M92" s="27"/>
      <c r="N92" s="27"/>
      <c r="O92" s="27"/>
      <c r="P92" s="27"/>
    </row>
    <row r="93" spans="1:16" ht="48" customHeight="1">
      <c r="A93">
        <v>0</v>
      </c>
      <c r="B93">
        <v>0</v>
      </c>
      <c r="C93">
        <v>0</v>
      </c>
      <c r="D93">
        <v>0</v>
      </c>
      <c r="F93" s="27">
        <f>IF(U6,IF(V2&lt;=1,"", IF(ISNA(C93),"",A93&amp; " - " &amp; C93)),"")</f>
        <v>0</v>
      </c>
      <c r="G93" s="27"/>
      <c r="H93" s="27"/>
      <c r="I93" s="27"/>
      <c r="J93" s="27"/>
      <c r="K93" s="27"/>
      <c r="L93" s="27"/>
      <c r="M93" s="27"/>
      <c r="N93" s="27"/>
      <c r="O93" s="27"/>
      <c r="P93" s="27"/>
    </row>
    <row r="94" spans="1:16" ht="48" customHeight="1">
      <c r="A94">
        <v>0</v>
      </c>
      <c r="B94">
        <v>0</v>
      </c>
      <c r="C94">
        <v>0</v>
      </c>
      <c r="D94">
        <v>0</v>
      </c>
      <c r="F94" s="27">
        <f>IF(U6,IF(V2&lt;=1,"", IF(ISNA(C94),"",A94&amp; " - " &amp; C94)),"")</f>
        <v>0</v>
      </c>
      <c r="G94" s="27"/>
      <c r="H94" s="27"/>
      <c r="I94" s="27"/>
      <c r="J94" s="27"/>
      <c r="K94" s="27"/>
      <c r="L94" s="27"/>
      <c r="M94" s="27"/>
      <c r="N94" s="27"/>
      <c r="O94" s="27"/>
      <c r="P94" s="27"/>
    </row>
    <row r="95" spans="1:16" ht="48" customHeight="1">
      <c r="A95">
        <v>0</v>
      </c>
      <c r="B95">
        <v>0</v>
      </c>
      <c r="C95">
        <v>0</v>
      </c>
      <c r="D95">
        <v>0</v>
      </c>
      <c r="F95" s="27">
        <f>IF(U6,IF(V2&lt;=1,"", IF(ISNA(C95),"",A95&amp; " - " &amp; C95)),"")</f>
        <v>0</v>
      </c>
      <c r="G95" s="27"/>
      <c r="H95" s="27"/>
      <c r="I95" s="27"/>
      <c r="J95" s="27"/>
      <c r="K95" s="27"/>
      <c r="L95" s="27"/>
      <c r="M95" s="27"/>
      <c r="N95" s="27"/>
      <c r="O95" s="27"/>
      <c r="P95" s="27"/>
    </row>
    <row r="96" spans="1:16" ht="48" customHeight="1">
      <c r="A96">
        <v>0</v>
      </c>
      <c r="B96">
        <v>0</v>
      </c>
      <c r="C96">
        <v>0</v>
      </c>
      <c r="D96">
        <v>0</v>
      </c>
      <c r="F96" s="27">
        <f>IF(U6,IF(V2&lt;=1,"", IF(ISNA(C96),"",A96&amp; " - " &amp; C96)),"")</f>
        <v>0</v>
      </c>
      <c r="G96" s="27"/>
      <c r="H96" s="27"/>
      <c r="I96" s="27"/>
      <c r="J96" s="27"/>
      <c r="K96" s="27"/>
      <c r="L96" s="27"/>
      <c r="M96" s="27"/>
      <c r="N96" s="27"/>
      <c r="O96" s="27"/>
      <c r="P96" s="27"/>
    </row>
    <row r="97" spans="1:16" ht="48" customHeight="1">
      <c r="A97">
        <v>0</v>
      </c>
      <c r="B97">
        <v>0</v>
      </c>
      <c r="C97">
        <v>0</v>
      </c>
      <c r="D97">
        <v>0</v>
      </c>
      <c r="F97" s="27">
        <f>IF(U6,IF(V2&lt;=1,"", IF(ISNA(C97),"",A97&amp; " - " &amp; C97)),"")</f>
        <v>0</v>
      </c>
      <c r="G97" s="27"/>
      <c r="H97" s="27"/>
      <c r="I97" s="27"/>
      <c r="J97" s="27"/>
      <c r="K97" s="27"/>
      <c r="L97" s="27"/>
      <c r="M97" s="27"/>
      <c r="N97" s="27"/>
      <c r="O97" s="27"/>
      <c r="P97" s="27"/>
    </row>
    <row r="98" spans="1:16" ht="48" customHeight="1">
      <c r="A98">
        <v>0</v>
      </c>
      <c r="B98">
        <v>0</v>
      </c>
      <c r="C98">
        <v>0</v>
      </c>
      <c r="D98">
        <v>0</v>
      </c>
      <c r="F98" s="27">
        <f>IF(U6,IF(V2&lt;=1,"", IF(ISNA(C98),"",A98&amp; " - " &amp; C98)),"")</f>
        <v>0</v>
      </c>
      <c r="G98" s="27"/>
      <c r="H98" s="27"/>
      <c r="I98" s="27"/>
      <c r="J98" s="27"/>
      <c r="K98" s="27"/>
      <c r="L98" s="27"/>
      <c r="M98" s="27"/>
      <c r="N98" s="27"/>
      <c r="O98" s="27"/>
      <c r="P98" s="27"/>
    </row>
    <row r="99" spans="1:16" ht="48" customHeight="1">
      <c r="A99">
        <v>0</v>
      </c>
      <c r="B99">
        <v>0</v>
      </c>
      <c r="C99">
        <v>0</v>
      </c>
      <c r="D99">
        <v>0</v>
      </c>
      <c r="F99" s="27">
        <f>IF(U6,IF(V2&lt;=1,"", IF(ISNA(C99),"",A99&amp; " - " &amp; C99)),"")</f>
        <v>0</v>
      </c>
      <c r="G99" s="27"/>
      <c r="H99" s="27"/>
      <c r="I99" s="27"/>
      <c r="J99" s="27"/>
      <c r="K99" s="27"/>
      <c r="L99" s="27"/>
      <c r="M99" s="27"/>
      <c r="N99" s="27"/>
      <c r="O99" s="27"/>
      <c r="P99" s="27"/>
    </row>
    <row r="100" spans="1:16" ht="48" customHeight="1">
      <c r="A100">
        <v>0</v>
      </c>
      <c r="B100">
        <v>0</v>
      </c>
      <c r="C100">
        <v>0</v>
      </c>
      <c r="D100">
        <v>0</v>
      </c>
      <c r="F100" s="27">
        <f>IF(U6,IF(V2&lt;=1,"", IF(ISNA(C100),"",A100&amp; " - " &amp; C100)),"")</f>
        <v>0</v>
      </c>
      <c r="G100" s="27"/>
      <c r="H100" s="27"/>
      <c r="I100" s="27"/>
      <c r="J100" s="27"/>
      <c r="K100" s="27"/>
      <c r="L100" s="27"/>
      <c r="M100" s="27"/>
      <c r="N100" s="27"/>
      <c r="O100" s="27"/>
      <c r="P100" s="27"/>
    </row>
    <row r="101" spans="1:16" ht="48" customHeight="1">
      <c r="A101">
        <v>0</v>
      </c>
      <c r="B101">
        <v>0</v>
      </c>
      <c r="C101">
        <v>0</v>
      </c>
      <c r="D101">
        <v>0</v>
      </c>
      <c r="F101" s="27">
        <f>IF(U6,IF(V2&lt;=1,"", IF(ISNA(C101),"",A101&amp; " - " &amp; C101)),"")</f>
        <v>0</v>
      </c>
      <c r="G101" s="27"/>
      <c r="H101" s="27"/>
      <c r="I101" s="27"/>
      <c r="J101" s="27"/>
      <c r="K101" s="27"/>
      <c r="L101" s="27"/>
      <c r="M101" s="27"/>
      <c r="N101" s="27"/>
      <c r="O101" s="27"/>
      <c r="P101" s="27"/>
    </row>
    <row r="102" spans="1:16" ht="48" customHeight="1">
      <c r="A102">
        <v>0</v>
      </c>
      <c r="B102">
        <v>0</v>
      </c>
      <c r="C102">
        <v>0</v>
      </c>
      <c r="D102">
        <v>0</v>
      </c>
      <c r="F102" s="27">
        <f>IF(U6,IF(V2&lt;=1,"", IF(ISNA(C102),"",A102&amp; " - " &amp; C102)),"")</f>
        <v>0</v>
      </c>
      <c r="G102" s="27"/>
      <c r="H102" s="27"/>
      <c r="I102" s="27"/>
      <c r="J102" s="27"/>
      <c r="K102" s="27"/>
      <c r="L102" s="27"/>
      <c r="M102" s="27"/>
      <c r="N102" s="27"/>
      <c r="O102" s="27"/>
      <c r="P102" s="27"/>
    </row>
    <row r="103" spans="1:16" ht="48" customHeight="1">
      <c r="A103">
        <v>0</v>
      </c>
      <c r="B103">
        <v>0</v>
      </c>
      <c r="C103">
        <v>0</v>
      </c>
      <c r="D103">
        <v>0</v>
      </c>
      <c r="F103" s="27">
        <f>IF(U6,IF(V2&lt;=1,"", IF(ISNA(C103),"",A103&amp; " - " &amp; C103)),"")</f>
        <v>0</v>
      </c>
      <c r="G103" s="27"/>
      <c r="H103" s="27"/>
      <c r="I103" s="27"/>
      <c r="J103" s="27"/>
      <c r="K103" s="27"/>
      <c r="L103" s="27"/>
      <c r="M103" s="27"/>
      <c r="N103" s="27"/>
      <c r="O103" s="27"/>
      <c r="P103" s="27"/>
    </row>
    <row r="104" spans="1:16" ht="48" customHeight="1">
      <c r="A104">
        <v>0</v>
      </c>
      <c r="B104">
        <v>0</v>
      </c>
      <c r="C104">
        <v>0</v>
      </c>
      <c r="D104">
        <v>0</v>
      </c>
      <c r="F104" s="27">
        <f>IF(U6,IF(V2&lt;=1,"", IF(ISNA(C104),"",A104&amp; " - " &amp; C104)),"")</f>
        <v>0</v>
      </c>
      <c r="G104" s="27"/>
      <c r="H104" s="27"/>
      <c r="I104" s="27"/>
      <c r="J104" s="27"/>
      <c r="K104" s="27"/>
      <c r="L104" s="27"/>
      <c r="M104" s="27"/>
      <c r="N104" s="27"/>
      <c r="O104" s="27"/>
      <c r="P104" s="27"/>
    </row>
    <row r="105" spans="1:16" ht="48" customHeight="1">
      <c r="A105">
        <v>0</v>
      </c>
      <c r="B105">
        <v>0</v>
      </c>
      <c r="C105">
        <v>0</v>
      </c>
      <c r="D105">
        <v>0</v>
      </c>
      <c r="F105" s="27">
        <f>IF(U6,IF(V2&lt;=1,"", IF(ISNA(C105),"",A105&amp; " - " &amp; C105)),"")</f>
        <v>0</v>
      </c>
      <c r="G105" s="27"/>
      <c r="H105" s="27"/>
      <c r="I105" s="27"/>
      <c r="J105" s="27"/>
      <c r="K105" s="27"/>
      <c r="L105" s="27"/>
      <c r="M105" s="27"/>
      <c r="N105" s="27"/>
      <c r="O105" s="27"/>
      <c r="P105" s="27"/>
    </row>
    <row r="106" spans="1:16" ht="48" customHeight="1">
      <c r="A106">
        <v>0</v>
      </c>
      <c r="B106">
        <v>0</v>
      </c>
      <c r="C106">
        <v>0</v>
      </c>
      <c r="D106">
        <v>0</v>
      </c>
      <c r="F106" s="27">
        <f>IF(U6,IF(V2&lt;=1,"", IF(ISNA(C106),"",A106&amp; " - " &amp; C106)),"")</f>
        <v>0</v>
      </c>
      <c r="G106" s="27"/>
      <c r="H106" s="27"/>
      <c r="I106" s="27"/>
      <c r="J106" s="27"/>
      <c r="K106" s="27"/>
      <c r="L106" s="27"/>
      <c r="M106" s="27"/>
      <c r="N106" s="27"/>
      <c r="O106" s="27"/>
      <c r="P106" s="27"/>
    </row>
    <row r="107" spans="1:16" ht="48" customHeight="1">
      <c r="A107">
        <v>0</v>
      </c>
      <c r="B107">
        <v>0</v>
      </c>
      <c r="C107">
        <v>0</v>
      </c>
      <c r="D107">
        <v>0</v>
      </c>
      <c r="F107" s="27">
        <f>IF(U6,IF(V2&lt;=1,"", IF(ISNA(C107),"",A107&amp; " - " &amp; C107)),"")</f>
        <v>0</v>
      </c>
      <c r="G107" s="27"/>
      <c r="H107" s="27"/>
      <c r="I107" s="27"/>
      <c r="J107" s="27"/>
      <c r="K107" s="27"/>
      <c r="L107" s="27"/>
      <c r="M107" s="27"/>
      <c r="N107" s="27"/>
      <c r="O107" s="27"/>
      <c r="P107" s="27"/>
    </row>
    <row r="108" spans="1:16" ht="48" customHeight="1">
      <c r="A108">
        <v>0</v>
      </c>
      <c r="B108">
        <v>0</v>
      </c>
      <c r="C108">
        <v>0</v>
      </c>
      <c r="D108">
        <v>0</v>
      </c>
      <c r="F108" s="27">
        <f>IF(U6,IF(V2&lt;=1,"", IF(ISNA(C108),"",A108&amp; " - " &amp; C108)),"")</f>
        <v>0</v>
      </c>
      <c r="G108" s="27"/>
      <c r="H108" s="27"/>
      <c r="I108" s="27"/>
      <c r="J108" s="27"/>
      <c r="K108" s="27"/>
      <c r="L108" s="27"/>
      <c r="M108" s="27"/>
      <c r="N108" s="27"/>
      <c r="O108" s="27"/>
      <c r="P108" s="27"/>
    </row>
    <row r="109" spans="1:16" ht="48" customHeight="1">
      <c r="A109">
        <v>0</v>
      </c>
      <c r="B109">
        <v>0</v>
      </c>
      <c r="C109">
        <v>0</v>
      </c>
      <c r="D109">
        <v>0</v>
      </c>
      <c r="F109" s="27">
        <f>IF(U6,IF(V2&lt;=1,"", IF(ISNA(C109),"",A109&amp; " - " &amp; C109)),"")</f>
        <v>0</v>
      </c>
      <c r="G109" s="27"/>
      <c r="H109" s="27"/>
      <c r="I109" s="27"/>
      <c r="J109" s="27"/>
      <c r="K109" s="27"/>
      <c r="L109" s="27"/>
      <c r="M109" s="27"/>
      <c r="N109" s="27"/>
      <c r="O109" s="27"/>
      <c r="P109" s="27"/>
    </row>
    <row r="110" spans="1:16" ht="48" customHeight="1">
      <c r="A110">
        <v>0</v>
      </c>
      <c r="B110">
        <v>0</v>
      </c>
      <c r="C110">
        <v>0</v>
      </c>
      <c r="D110">
        <v>0</v>
      </c>
      <c r="F110" s="27">
        <f>IF(U6,IF(V2&lt;=1,"", IF(ISNA(C110),"",A110&amp; " - " &amp; C110)),"")</f>
        <v>0</v>
      </c>
      <c r="G110" s="27"/>
      <c r="H110" s="27"/>
      <c r="I110" s="27"/>
      <c r="J110" s="27"/>
      <c r="K110" s="27"/>
      <c r="L110" s="27"/>
      <c r="M110" s="27"/>
      <c r="N110" s="27"/>
      <c r="O110" s="27"/>
      <c r="P110" s="27"/>
    </row>
    <row r="111" spans="1:16" ht="48" customHeight="1">
      <c r="A111">
        <v>0</v>
      </c>
      <c r="B111">
        <v>0</v>
      </c>
      <c r="C111">
        <v>0</v>
      </c>
      <c r="D111">
        <v>0</v>
      </c>
      <c r="F111" s="27">
        <f>IF(U6,IF(V2&lt;=1,"", IF(ISNA(C111),"",A111&amp; " - " &amp; C111)),"")</f>
        <v>0</v>
      </c>
      <c r="G111" s="27"/>
      <c r="H111" s="27"/>
      <c r="I111" s="27"/>
      <c r="J111" s="27"/>
      <c r="K111" s="27"/>
      <c r="L111" s="27"/>
      <c r="M111" s="27"/>
      <c r="N111" s="27"/>
      <c r="O111" s="27"/>
      <c r="P111" s="27"/>
    </row>
    <row r="112" spans="1:16" ht="48" customHeight="1">
      <c r="A112">
        <v>0</v>
      </c>
      <c r="B112">
        <v>0</v>
      </c>
      <c r="C112">
        <v>0</v>
      </c>
      <c r="D112">
        <v>0</v>
      </c>
      <c r="F112" s="27">
        <f>IF(U6,IF(V2&lt;=1,"", IF(ISNA(C112),"",A112&amp; " - " &amp; C112)),"")</f>
        <v>0</v>
      </c>
      <c r="G112" s="27"/>
      <c r="H112" s="27"/>
      <c r="I112" s="27"/>
      <c r="J112" s="27"/>
      <c r="K112" s="27"/>
      <c r="L112" s="27"/>
      <c r="M112" s="27"/>
      <c r="N112" s="27"/>
      <c r="O112" s="27"/>
      <c r="P112" s="27"/>
    </row>
    <row r="113" spans="1:16" ht="48" customHeight="1">
      <c r="A113">
        <v>0</v>
      </c>
      <c r="B113">
        <v>0</v>
      </c>
      <c r="C113">
        <v>0</v>
      </c>
      <c r="D113">
        <v>0</v>
      </c>
      <c r="F113" s="27">
        <f>IF(U6,IF(V2&lt;=1,"", IF(ISNA(C113),"",A113&amp; " - " &amp; C113)),"")</f>
        <v>0</v>
      </c>
      <c r="G113" s="27"/>
      <c r="H113" s="27"/>
      <c r="I113" s="27"/>
      <c r="J113" s="27"/>
      <c r="K113" s="27"/>
      <c r="L113" s="27"/>
      <c r="M113" s="27"/>
      <c r="N113" s="27"/>
      <c r="O113" s="27"/>
      <c r="P113" s="27"/>
    </row>
    <row r="114" spans="1:16" ht="48" customHeight="1">
      <c r="A114">
        <v>0</v>
      </c>
      <c r="B114">
        <v>0</v>
      </c>
      <c r="C114">
        <v>0</v>
      </c>
      <c r="D114">
        <v>0</v>
      </c>
      <c r="F114" s="27">
        <f>IF(U6,IF(V2&lt;=1,"", IF(ISNA(C114),"",A114&amp; " - " &amp; C114)),"")</f>
        <v>0</v>
      </c>
      <c r="G114" s="27"/>
      <c r="H114" s="27"/>
      <c r="I114" s="27"/>
      <c r="J114" s="27"/>
      <c r="K114" s="27"/>
      <c r="L114" s="27"/>
      <c r="M114" s="27"/>
      <c r="N114" s="27"/>
      <c r="O114" s="27"/>
      <c r="P114" s="27"/>
    </row>
    <row r="115" spans="1:16" ht="48" customHeight="1">
      <c r="A115">
        <v>0</v>
      </c>
      <c r="B115">
        <v>0</v>
      </c>
      <c r="C115">
        <v>0</v>
      </c>
      <c r="D115">
        <v>0</v>
      </c>
      <c r="F115" s="27">
        <f>IF(U6,IF(V2&lt;=1,"", IF(ISNA(C115),"",A115&amp; " - " &amp; C115)),"")</f>
        <v>0</v>
      </c>
      <c r="G115" s="27"/>
      <c r="H115" s="27"/>
      <c r="I115" s="27"/>
      <c r="J115" s="27"/>
      <c r="K115" s="27"/>
      <c r="L115" s="27"/>
      <c r="M115" s="27"/>
      <c r="N115" s="27"/>
      <c r="O115" s="27"/>
      <c r="P115" s="27"/>
    </row>
    <row r="116" spans="1:16" ht="48" customHeight="1">
      <c r="A116">
        <v>0</v>
      </c>
      <c r="B116">
        <v>0</v>
      </c>
      <c r="C116">
        <v>0</v>
      </c>
      <c r="D116">
        <v>0</v>
      </c>
      <c r="F116" s="27">
        <f>IF(U6,IF(V2&lt;=1,"", IF(ISNA(C116),"",A116&amp; " - " &amp; C116)),"")</f>
        <v>0</v>
      </c>
      <c r="G116" s="27"/>
      <c r="H116" s="27"/>
      <c r="I116" s="27"/>
      <c r="J116" s="27"/>
      <c r="K116" s="27"/>
      <c r="L116" s="27"/>
      <c r="M116" s="27"/>
      <c r="N116" s="27"/>
      <c r="O116" s="27"/>
      <c r="P116" s="27"/>
    </row>
    <row r="117" spans="1:16" ht="48" customHeight="1">
      <c r="A117">
        <v>0</v>
      </c>
      <c r="B117">
        <v>0</v>
      </c>
      <c r="C117">
        <v>0</v>
      </c>
      <c r="D117">
        <v>0</v>
      </c>
      <c r="F117" s="27">
        <f>IF(U6,IF(V2&lt;=1,"", IF(ISNA(C117),"",A117&amp; " - " &amp; C117)),"")</f>
        <v>0</v>
      </c>
      <c r="G117" s="27"/>
      <c r="H117" s="27"/>
      <c r="I117" s="27"/>
      <c r="J117" s="27"/>
      <c r="K117" s="27"/>
      <c r="L117" s="27"/>
      <c r="M117" s="27"/>
      <c r="N117" s="27"/>
      <c r="O117" s="27"/>
      <c r="P117" s="27"/>
    </row>
    <row r="118" spans="1:16" ht="48" customHeight="1">
      <c r="A118">
        <v>0</v>
      </c>
      <c r="B118">
        <v>0</v>
      </c>
      <c r="C118">
        <v>0</v>
      </c>
      <c r="D118">
        <v>0</v>
      </c>
      <c r="F118" s="27">
        <f>IF(U6,IF(V2&lt;=1,"", IF(ISNA(C118),"",A118&amp; " - " &amp; C118)),"")</f>
        <v>0</v>
      </c>
      <c r="G118" s="27"/>
      <c r="H118" s="27"/>
      <c r="I118" s="27"/>
      <c r="J118" s="27"/>
      <c r="K118" s="27"/>
      <c r="L118" s="27"/>
      <c r="M118" s="27"/>
      <c r="N118" s="27"/>
      <c r="O118" s="27"/>
      <c r="P118" s="27"/>
    </row>
    <row r="119" spans="1:16" ht="48" customHeight="1">
      <c r="A119">
        <v>0</v>
      </c>
      <c r="B119">
        <v>0</v>
      </c>
      <c r="C119">
        <v>0</v>
      </c>
      <c r="D119">
        <v>0</v>
      </c>
      <c r="F119" s="27">
        <f>IF(U6,IF(V2&lt;=1,"", IF(ISNA(C119),"",A119&amp; " - " &amp; C119)),"")</f>
        <v>0</v>
      </c>
      <c r="G119" s="27"/>
      <c r="H119" s="27"/>
      <c r="I119" s="27"/>
      <c r="J119" s="27"/>
      <c r="K119" s="27"/>
      <c r="L119" s="27"/>
      <c r="M119" s="27"/>
      <c r="N119" s="27"/>
      <c r="O119" s="27"/>
      <c r="P119" s="27"/>
    </row>
    <row r="120" spans="1:16" ht="48" customHeight="1">
      <c r="A120">
        <v>0</v>
      </c>
      <c r="B120">
        <v>0</v>
      </c>
      <c r="C120">
        <v>0</v>
      </c>
      <c r="D120">
        <v>0</v>
      </c>
      <c r="F120" s="27">
        <f>IF(U6,IF(V2&lt;=1,"", IF(ISNA(C120),"",A120&amp; " - " &amp; C120)),"")</f>
        <v>0</v>
      </c>
      <c r="G120" s="27"/>
      <c r="H120" s="27"/>
      <c r="I120" s="27"/>
      <c r="J120" s="27"/>
      <c r="K120" s="27"/>
      <c r="L120" s="27"/>
      <c r="M120" s="27"/>
      <c r="N120" s="27"/>
      <c r="O120" s="27"/>
      <c r="P120" s="27"/>
    </row>
    <row r="121" spans="1:16">
      <c r="A121">
        <v>0</v>
      </c>
      <c r="B121">
        <v>0</v>
      </c>
      <c r="C121">
        <v>0</v>
      </c>
      <c r="D121">
        <v>0</v>
      </c>
    </row>
    <row r="122" spans="1:16">
      <c r="A122">
        <v>0</v>
      </c>
      <c r="B122">
        <v>0</v>
      </c>
      <c r="C122">
        <v>0</v>
      </c>
      <c r="D122">
        <v>0</v>
      </c>
    </row>
    <row r="123" spans="1:16">
      <c r="A123">
        <v>0</v>
      </c>
      <c r="B123">
        <v>0</v>
      </c>
      <c r="C123">
        <v>0</v>
      </c>
      <c r="D123">
        <v>0</v>
      </c>
    </row>
    <row r="124" spans="1:16">
      <c r="A124">
        <v>0</v>
      </c>
      <c r="B124">
        <v>0</v>
      </c>
      <c r="C124">
        <v>0</v>
      </c>
      <c r="D124">
        <v>0</v>
      </c>
    </row>
    <row r="125" spans="1:16">
      <c r="A125">
        <v>0</v>
      </c>
      <c r="B125">
        <v>0</v>
      </c>
      <c r="C125">
        <v>0</v>
      </c>
      <c r="D125">
        <v>0</v>
      </c>
    </row>
    <row r="126" spans="1:16">
      <c r="A126">
        <v>0</v>
      </c>
      <c r="B126">
        <v>0</v>
      </c>
      <c r="C126">
        <v>0</v>
      </c>
      <c r="D126">
        <v>0</v>
      </c>
    </row>
    <row r="127" spans="1:16">
      <c r="A127">
        <v>0</v>
      </c>
      <c r="B127">
        <v>0</v>
      </c>
      <c r="C127">
        <v>0</v>
      </c>
      <c r="D127">
        <v>0</v>
      </c>
    </row>
    <row r="128" spans="1:16">
      <c r="A128">
        <v>0</v>
      </c>
      <c r="B128">
        <v>0</v>
      </c>
      <c r="C128">
        <v>0</v>
      </c>
      <c r="D128">
        <v>0</v>
      </c>
    </row>
    <row r="129" spans="1:4">
      <c r="A129">
        <v>0</v>
      </c>
      <c r="B129">
        <v>0</v>
      </c>
      <c r="C129">
        <v>0</v>
      </c>
      <c r="D129">
        <v>0</v>
      </c>
    </row>
    <row r="130" spans="1:4">
      <c r="A130">
        <v>0</v>
      </c>
      <c r="B130">
        <v>0</v>
      </c>
      <c r="C130">
        <v>0</v>
      </c>
      <c r="D130">
        <v>0</v>
      </c>
    </row>
    <row r="131" spans="1:4">
      <c r="A131">
        <v>0</v>
      </c>
      <c r="B131">
        <v>0</v>
      </c>
      <c r="C131">
        <v>0</v>
      </c>
      <c r="D131">
        <v>0</v>
      </c>
    </row>
    <row r="132" spans="1:4">
      <c r="A132">
        <v>0</v>
      </c>
      <c r="B132">
        <v>0</v>
      </c>
      <c r="C132">
        <v>0</v>
      </c>
      <c r="D132">
        <v>0</v>
      </c>
    </row>
    <row r="133" spans="1:4">
      <c r="A133">
        <v>0</v>
      </c>
      <c r="B133">
        <v>0</v>
      </c>
      <c r="C133">
        <v>0</v>
      </c>
      <c r="D133">
        <v>0</v>
      </c>
    </row>
    <row r="134" spans="1:4">
      <c r="A134">
        <v>0</v>
      </c>
      <c r="B134">
        <v>0</v>
      </c>
      <c r="C134">
        <v>0</v>
      </c>
      <c r="D134">
        <v>0</v>
      </c>
    </row>
    <row r="135" spans="1:4">
      <c r="A135">
        <v>0</v>
      </c>
      <c r="B135">
        <v>0</v>
      </c>
      <c r="C135">
        <v>0</v>
      </c>
      <c r="D135">
        <v>0</v>
      </c>
    </row>
    <row r="136" spans="1:4">
      <c r="A136">
        <v>0</v>
      </c>
      <c r="B136">
        <v>0</v>
      </c>
      <c r="C136">
        <v>0</v>
      </c>
      <c r="D136">
        <v>0</v>
      </c>
    </row>
    <row r="137" spans="1:4">
      <c r="A137">
        <v>0</v>
      </c>
      <c r="B137">
        <v>0</v>
      </c>
      <c r="C137">
        <v>0</v>
      </c>
      <c r="D137">
        <v>0</v>
      </c>
    </row>
    <row r="138" spans="1:4">
      <c r="A138">
        <v>0</v>
      </c>
      <c r="B138">
        <v>0</v>
      </c>
      <c r="C138">
        <v>0</v>
      </c>
      <c r="D138">
        <v>0</v>
      </c>
    </row>
    <row r="139" spans="1:4">
      <c r="A139">
        <v>0</v>
      </c>
      <c r="B139">
        <v>0</v>
      </c>
      <c r="C139">
        <v>0</v>
      </c>
      <c r="D139">
        <v>0</v>
      </c>
    </row>
    <row r="140" spans="1:4">
      <c r="A140">
        <v>0</v>
      </c>
      <c r="B140">
        <v>0</v>
      </c>
      <c r="C140">
        <v>0</v>
      </c>
      <c r="D140">
        <v>0</v>
      </c>
    </row>
    <row r="141" spans="1:4">
      <c r="A141">
        <v>0</v>
      </c>
      <c r="B141">
        <v>0</v>
      </c>
      <c r="C141">
        <v>0</v>
      </c>
      <c r="D141">
        <v>0</v>
      </c>
    </row>
    <row r="142" spans="1:4">
      <c r="A142">
        <v>0</v>
      </c>
      <c r="B142">
        <v>0</v>
      </c>
      <c r="C142">
        <v>0</v>
      </c>
      <c r="D142">
        <v>0</v>
      </c>
    </row>
    <row r="143" spans="1:4">
      <c r="A143">
        <v>0</v>
      </c>
      <c r="B143">
        <v>0</v>
      </c>
      <c r="C143">
        <v>0</v>
      </c>
      <c r="D143">
        <v>0</v>
      </c>
    </row>
    <row r="144" spans="1:4">
      <c r="A144">
        <v>0</v>
      </c>
      <c r="B144">
        <v>0</v>
      </c>
      <c r="C144">
        <v>0</v>
      </c>
      <c r="D144">
        <v>0</v>
      </c>
    </row>
    <row r="145" spans="1:4">
      <c r="A145">
        <v>0</v>
      </c>
      <c r="B145">
        <v>0</v>
      </c>
      <c r="C145">
        <v>0</v>
      </c>
      <c r="D145">
        <v>0</v>
      </c>
    </row>
    <row r="146" spans="1:4">
      <c r="A146">
        <v>0</v>
      </c>
      <c r="B146">
        <v>0</v>
      </c>
      <c r="C146">
        <v>0</v>
      </c>
      <c r="D146">
        <v>0</v>
      </c>
    </row>
    <row r="147" spans="1:4">
      <c r="A147">
        <v>0</v>
      </c>
      <c r="B147">
        <v>0</v>
      </c>
      <c r="C147">
        <v>0</v>
      </c>
      <c r="D147">
        <v>0</v>
      </c>
    </row>
    <row r="148" spans="1:4">
      <c r="A148">
        <v>0</v>
      </c>
      <c r="B148">
        <v>0</v>
      </c>
      <c r="C148">
        <v>0</v>
      </c>
      <c r="D148">
        <v>0</v>
      </c>
    </row>
    <row r="149" spans="1:4">
      <c r="A149">
        <v>0</v>
      </c>
      <c r="B149">
        <v>0</v>
      </c>
      <c r="C149">
        <v>0</v>
      </c>
      <c r="D149">
        <v>0</v>
      </c>
    </row>
    <row r="150" spans="1:4">
      <c r="A150">
        <v>0</v>
      </c>
      <c r="B150">
        <v>0</v>
      </c>
      <c r="C150">
        <v>0</v>
      </c>
      <c r="D150">
        <v>0</v>
      </c>
    </row>
    <row r="151" spans="1:4">
      <c r="A151">
        <v>0</v>
      </c>
      <c r="B151">
        <v>0</v>
      </c>
      <c r="C151">
        <v>0</v>
      </c>
      <c r="D151">
        <v>0</v>
      </c>
    </row>
    <row r="152" spans="1:4">
      <c r="A152">
        <v>0</v>
      </c>
      <c r="B152">
        <v>0</v>
      </c>
      <c r="C152">
        <v>0</v>
      </c>
      <c r="D152">
        <v>0</v>
      </c>
    </row>
    <row r="153" spans="1:4">
      <c r="A153">
        <v>0</v>
      </c>
      <c r="B153">
        <v>0</v>
      </c>
      <c r="C153">
        <v>0</v>
      </c>
      <c r="D153">
        <v>0</v>
      </c>
    </row>
    <row r="154" spans="1:4">
      <c r="A154">
        <v>0</v>
      </c>
      <c r="B154">
        <v>0</v>
      </c>
      <c r="C154">
        <v>0</v>
      </c>
      <c r="D154">
        <v>0</v>
      </c>
    </row>
    <row r="155" spans="1:4">
      <c r="A155">
        <v>0</v>
      </c>
      <c r="B155">
        <v>0</v>
      </c>
      <c r="C155">
        <v>0</v>
      </c>
      <c r="D155">
        <v>0</v>
      </c>
    </row>
    <row r="156" spans="1:4">
      <c r="A156">
        <v>0</v>
      </c>
      <c r="B156">
        <v>0</v>
      </c>
      <c r="C156">
        <v>0</v>
      </c>
      <c r="D156">
        <v>0</v>
      </c>
    </row>
    <row r="157" spans="1:4">
      <c r="A157">
        <v>0</v>
      </c>
      <c r="B157">
        <v>0</v>
      </c>
      <c r="C157">
        <v>0</v>
      </c>
      <c r="D157">
        <v>0</v>
      </c>
    </row>
    <row r="158" spans="1:4">
      <c r="A158">
        <v>0</v>
      </c>
      <c r="B158">
        <v>0</v>
      </c>
      <c r="C158">
        <v>0</v>
      </c>
      <c r="D158">
        <v>0</v>
      </c>
    </row>
    <row r="159" spans="1:4">
      <c r="A159">
        <v>0</v>
      </c>
      <c r="B159">
        <v>0</v>
      </c>
      <c r="C159">
        <v>0</v>
      </c>
      <c r="D159">
        <v>0</v>
      </c>
    </row>
    <row r="160" spans="1:4">
      <c r="A160">
        <v>0</v>
      </c>
      <c r="B160">
        <v>0</v>
      </c>
      <c r="C160">
        <v>0</v>
      </c>
      <c r="D160">
        <v>0</v>
      </c>
    </row>
    <row r="161" spans="1:4">
      <c r="A161">
        <v>0</v>
      </c>
      <c r="B161">
        <v>0</v>
      </c>
      <c r="C161">
        <v>0</v>
      </c>
      <c r="D161">
        <v>0</v>
      </c>
    </row>
    <row r="162" spans="1:4">
      <c r="A162">
        <v>0</v>
      </c>
      <c r="B162">
        <v>0</v>
      </c>
      <c r="C162">
        <v>0</v>
      </c>
      <c r="D162">
        <v>0</v>
      </c>
    </row>
    <row r="163" spans="1:4">
      <c r="A163">
        <v>0</v>
      </c>
      <c r="B163">
        <v>0</v>
      </c>
      <c r="C163">
        <v>0</v>
      </c>
      <c r="D163">
        <v>0</v>
      </c>
    </row>
    <row r="164" spans="1:4">
      <c r="A164">
        <v>0</v>
      </c>
      <c r="B164">
        <v>0</v>
      </c>
      <c r="C164">
        <v>0</v>
      </c>
      <c r="D164">
        <v>0</v>
      </c>
    </row>
    <row r="165" spans="1:4">
      <c r="A165">
        <v>0</v>
      </c>
      <c r="B165">
        <v>0</v>
      </c>
      <c r="C165">
        <v>0</v>
      </c>
      <c r="D165">
        <v>0</v>
      </c>
    </row>
    <row r="166" spans="1:4">
      <c r="A166">
        <v>0</v>
      </c>
      <c r="B166">
        <v>0</v>
      </c>
      <c r="C166">
        <v>0</v>
      </c>
      <c r="D166">
        <v>0</v>
      </c>
    </row>
    <row r="167" spans="1:4">
      <c r="A167">
        <v>0</v>
      </c>
      <c r="B167">
        <v>0</v>
      </c>
      <c r="C167">
        <v>0</v>
      </c>
      <c r="D167">
        <v>0</v>
      </c>
    </row>
    <row r="168" spans="1:4">
      <c r="A168">
        <v>0</v>
      </c>
      <c r="B168">
        <v>0</v>
      </c>
      <c r="C168">
        <v>0</v>
      </c>
      <c r="D168">
        <v>0</v>
      </c>
    </row>
    <row r="169" spans="1:4">
      <c r="A169">
        <v>0</v>
      </c>
      <c r="B169">
        <v>0</v>
      </c>
      <c r="C169">
        <v>0</v>
      </c>
      <c r="D169">
        <v>0</v>
      </c>
    </row>
    <row r="170" spans="1:4">
      <c r="A170">
        <v>0</v>
      </c>
      <c r="B170">
        <v>0</v>
      </c>
      <c r="C170">
        <v>0</v>
      </c>
      <c r="D170">
        <v>0</v>
      </c>
    </row>
    <row r="171" spans="1:4">
      <c r="A171">
        <v>0</v>
      </c>
      <c r="B171">
        <v>0</v>
      </c>
      <c r="C171">
        <v>0</v>
      </c>
      <c r="D171">
        <v>0</v>
      </c>
    </row>
    <row r="172" spans="1:4">
      <c r="A172">
        <v>0</v>
      </c>
      <c r="B172">
        <v>0</v>
      </c>
      <c r="C172">
        <v>0</v>
      </c>
      <c r="D172">
        <v>0</v>
      </c>
    </row>
    <row r="173" spans="1:4">
      <c r="A173">
        <v>0</v>
      </c>
      <c r="B173">
        <v>0</v>
      </c>
      <c r="C173">
        <v>0</v>
      </c>
      <c r="D173">
        <v>0</v>
      </c>
    </row>
    <row r="174" spans="1:4">
      <c r="A174">
        <v>0</v>
      </c>
      <c r="B174">
        <v>0</v>
      </c>
      <c r="C174">
        <v>0</v>
      </c>
      <c r="D174">
        <v>0</v>
      </c>
    </row>
    <row r="175" spans="1:4">
      <c r="A175">
        <v>0</v>
      </c>
      <c r="B175">
        <v>0</v>
      </c>
      <c r="C175">
        <v>0</v>
      </c>
      <c r="D175">
        <v>0</v>
      </c>
    </row>
    <row r="176" spans="1:4">
      <c r="A176">
        <v>0</v>
      </c>
      <c r="B176">
        <v>0</v>
      </c>
      <c r="C176">
        <v>0</v>
      </c>
      <c r="D176">
        <v>0</v>
      </c>
    </row>
    <row r="177" spans="1:4">
      <c r="A177">
        <v>0</v>
      </c>
      <c r="B177">
        <v>0</v>
      </c>
      <c r="C177">
        <v>0</v>
      </c>
      <c r="D177">
        <v>0</v>
      </c>
    </row>
    <row r="178" spans="1:4">
      <c r="A178">
        <v>0</v>
      </c>
      <c r="B178">
        <v>0</v>
      </c>
      <c r="C178">
        <v>0</v>
      </c>
      <c r="D178">
        <v>0</v>
      </c>
    </row>
    <row r="179" spans="1:4">
      <c r="A179">
        <v>0</v>
      </c>
      <c r="B179">
        <v>0</v>
      </c>
      <c r="C179">
        <v>0</v>
      </c>
      <c r="D179">
        <v>0</v>
      </c>
    </row>
    <row r="180" spans="1:4">
      <c r="A180">
        <v>0</v>
      </c>
      <c r="B180">
        <v>0</v>
      </c>
      <c r="C180">
        <v>0</v>
      </c>
      <c r="D180">
        <v>0</v>
      </c>
    </row>
    <row r="181" spans="1:4">
      <c r="A181">
        <v>0</v>
      </c>
      <c r="B181">
        <v>0</v>
      </c>
      <c r="C181">
        <v>0</v>
      </c>
      <c r="D181">
        <v>0</v>
      </c>
    </row>
    <row r="182" spans="1:4">
      <c r="A182">
        <v>0</v>
      </c>
      <c r="B182">
        <v>0</v>
      </c>
      <c r="C182">
        <v>0</v>
      </c>
      <c r="D182">
        <v>0</v>
      </c>
    </row>
    <row r="183" spans="1:4">
      <c r="A183">
        <v>0</v>
      </c>
      <c r="B183">
        <v>0</v>
      </c>
      <c r="C183">
        <v>0</v>
      </c>
      <c r="D183">
        <v>0</v>
      </c>
    </row>
    <row r="184" spans="1:4">
      <c r="A184">
        <v>0</v>
      </c>
      <c r="B184">
        <v>0</v>
      </c>
      <c r="C184">
        <v>0</v>
      </c>
      <c r="D184">
        <v>0</v>
      </c>
    </row>
    <row r="185" spans="1:4">
      <c r="A185">
        <v>0</v>
      </c>
      <c r="B185">
        <v>0</v>
      </c>
      <c r="C185">
        <v>0</v>
      </c>
      <c r="D185">
        <v>0</v>
      </c>
    </row>
    <row r="186" spans="1:4">
      <c r="A186">
        <v>0</v>
      </c>
      <c r="B186">
        <v>0</v>
      </c>
      <c r="C186">
        <v>0</v>
      </c>
      <c r="D186">
        <v>0</v>
      </c>
    </row>
    <row r="187" spans="1:4">
      <c r="A187">
        <v>0</v>
      </c>
      <c r="B187">
        <v>0</v>
      </c>
      <c r="C187">
        <v>0</v>
      </c>
      <c r="D187">
        <v>0</v>
      </c>
    </row>
    <row r="188" spans="1:4">
      <c r="A188">
        <v>0</v>
      </c>
      <c r="B188">
        <v>0</v>
      </c>
      <c r="C188">
        <v>0</v>
      </c>
      <c r="D188">
        <v>0</v>
      </c>
    </row>
    <row r="189" spans="1:4">
      <c r="A189">
        <v>0</v>
      </c>
      <c r="B189">
        <v>0</v>
      </c>
      <c r="C189">
        <v>0</v>
      </c>
      <c r="D189">
        <v>0</v>
      </c>
    </row>
    <row r="190" spans="1:4">
      <c r="A190">
        <v>0</v>
      </c>
      <c r="B190">
        <v>0</v>
      </c>
      <c r="C190">
        <v>0</v>
      </c>
      <c r="D190">
        <v>0</v>
      </c>
    </row>
    <row r="191" spans="1:4">
      <c r="A191">
        <v>0</v>
      </c>
      <c r="B191">
        <v>0</v>
      </c>
      <c r="C191">
        <v>0</v>
      </c>
      <c r="D191">
        <v>0</v>
      </c>
    </row>
    <row r="192" spans="1:4">
      <c r="A192">
        <v>0</v>
      </c>
      <c r="B192">
        <v>0</v>
      </c>
      <c r="C192">
        <v>0</v>
      </c>
      <c r="D192">
        <v>0</v>
      </c>
    </row>
    <row r="193" spans="1:4">
      <c r="A193">
        <v>0</v>
      </c>
      <c r="B193">
        <v>0</v>
      </c>
      <c r="C193">
        <v>0</v>
      </c>
      <c r="D193">
        <v>0</v>
      </c>
    </row>
    <row r="194" spans="1:4">
      <c r="A194">
        <v>0</v>
      </c>
      <c r="B194">
        <v>0</v>
      </c>
      <c r="C194">
        <v>0</v>
      </c>
      <c r="D194">
        <v>0</v>
      </c>
    </row>
    <row r="195" spans="1:4">
      <c r="A195">
        <v>0</v>
      </c>
      <c r="B195">
        <v>0</v>
      </c>
      <c r="C195">
        <v>0</v>
      </c>
      <c r="D195">
        <v>0</v>
      </c>
    </row>
    <row r="196" spans="1:4">
      <c r="A196">
        <v>0</v>
      </c>
      <c r="B196">
        <v>0</v>
      </c>
      <c r="C196">
        <v>0</v>
      </c>
      <c r="D196">
        <v>0</v>
      </c>
    </row>
    <row r="197" spans="1:4">
      <c r="A197">
        <v>0</v>
      </c>
      <c r="B197">
        <v>0</v>
      </c>
      <c r="C197">
        <v>0</v>
      </c>
      <c r="D197">
        <v>0</v>
      </c>
    </row>
    <row r="198" spans="1:4">
      <c r="A198">
        <v>0</v>
      </c>
      <c r="B198">
        <v>0</v>
      </c>
      <c r="C198">
        <v>0</v>
      </c>
      <c r="D198">
        <v>0</v>
      </c>
    </row>
    <row r="199" spans="1:4">
      <c r="A199">
        <v>0</v>
      </c>
      <c r="B199">
        <v>0</v>
      </c>
      <c r="C199">
        <v>0</v>
      </c>
      <c r="D199">
        <v>0</v>
      </c>
    </row>
    <row r="200" spans="1:4">
      <c r="A200">
        <v>0</v>
      </c>
      <c r="B200">
        <v>0</v>
      </c>
      <c r="C200">
        <v>0</v>
      </c>
      <c r="D200">
        <v>0</v>
      </c>
    </row>
    <row r="201" spans="1:4">
      <c r="A201">
        <v>0</v>
      </c>
      <c r="B201">
        <v>0</v>
      </c>
      <c r="C201">
        <v>0</v>
      </c>
      <c r="D201">
        <v>0</v>
      </c>
    </row>
    <row r="202" spans="1:4">
      <c r="A202">
        <v>0</v>
      </c>
      <c r="B202">
        <v>0</v>
      </c>
      <c r="C202">
        <v>0</v>
      </c>
      <c r="D202">
        <v>0</v>
      </c>
    </row>
    <row r="203" spans="1:4">
      <c r="A203">
        <v>0</v>
      </c>
      <c r="B203">
        <v>0</v>
      </c>
      <c r="C203">
        <v>0</v>
      </c>
      <c r="D203">
        <v>0</v>
      </c>
    </row>
    <row r="204" spans="1:4">
      <c r="A204">
        <v>0</v>
      </c>
      <c r="B204">
        <v>0</v>
      </c>
      <c r="C204">
        <v>0</v>
      </c>
      <c r="D204">
        <v>0</v>
      </c>
    </row>
    <row r="205" spans="1:4">
      <c r="A205">
        <v>0</v>
      </c>
      <c r="B205">
        <v>0</v>
      </c>
      <c r="C205">
        <v>0</v>
      </c>
      <c r="D205">
        <v>0</v>
      </c>
    </row>
    <row r="206" spans="1:4">
      <c r="A206">
        <v>0</v>
      </c>
      <c r="B206">
        <v>0</v>
      </c>
      <c r="C206">
        <v>0</v>
      </c>
      <c r="D206">
        <v>0</v>
      </c>
    </row>
    <row r="207" spans="1:4">
      <c r="A207">
        <v>0</v>
      </c>
      <c r="B207">
        <v>0</v>
      </c>
      <c r="C207">
        <v>0</v>
      </c>
      <c r="D207">
        <v>0</v>
      </c>
    </row>
    <row r="208" spans="1:4">
      <c r="A208">
        <v>0</v>
      </c>
      <c r="B208">
        <v>0</v>
      </c>
      <c r="C208">
        <v>0</v>
      </c>
      <c r="D208">
        <v>0</v>
      </c>
    </row>
    <row r="209" spans="1:4">
      <c r="A209">
        <v>0</v>
      </c>
      <c r="B209">
        <v>0</v>
      </c>
      <c r="C209">
        <v>0</v>
      </c>
      <c r="D209">
        <v>0</v>
      </c>
    </row>
    <row r="210" spans="1:4">
      <c r="A210">
        <v>0</v>
      </c>
      <c r="B210">
        <v>0</v>
      </c>
      <c r="C210">
        <v>0</v>
      </c>
      <c r="D210">
        <v>0</v>
      </c>
    </row>
    <row r="211" spans="1:4">
      <c r="A211">
        <v>0</v>
      </c>
      <c r="B211">
        <v>0</v>
      </c>
      <c r="C211">
        <v>0</v>
      </c>
      <c r="D211">
        <v>0</v>
      </c>
    </row>
    <row r="212" spans="1:4">
      <c r="A212">
        <v>0</v>
      </c>
      <c r="B212">
        <v>0</v>
      </c>
      <c r="C212">
        <v>0</v>
      </c>
      <c r="D212">
        <v>0</v>
      </c>
    </row>
    <row r="213" spans="1:4">
      <c r="A213">
        <v>0</v>
      </c>
      <c r="B213">
        <v>0</v>
      </c>
      <c r="C213">
        <v>0</v>
      </c>
      <c r="D213">
        <v>0</v>
      </c>
    </row>
    <row r="214" spans="1:4">
      <c r="A214">
        <v>0</v>
      </c>
      <c r="B214">
        <v>0</v>
      </c>
      <c r="C214">
        <v>0</v>
      </c>
      <c r="D214">
        <v>0</v>
      </c>
    </row>
    <row r="215" spans="1:4">
      <c r="A215">
        <v>0</v>
      </c>
      <c r="B215">
        <v>0</v>
      </c>
      <c r="C215">
        <v>0</v>
      </c>
      <c r="D215">
        <v>0</v>
      </c>
    </row>
    <row r="216" spans="1:4">
      <c r="A216">
        <v>0</v>
      </c>
      <c r="B216">
        <v>0</v>
      </c>
      <c r="C216">
        <v>0</v>
      </c>
      <c r="D216">
        <v>0</v>
      </c>
    </row>
    <row r="217" spans="1:4">
      <c r="A217">
        <v>0</v>
      </c>
      <c r="B217">
        <v>0</v>
      </c>
      <c r="C217">
        <v>0</v>
      </c>
      <c r="D217">
        <v>0</v>
      </c>
    </row>
    <row r="218" spans="1:4">
      <c r="A218">
        <v>0</v>
      </c>
      <c r="B218">
        <v>0</v>
      </c>
      <c r="C218">
        <v>0</v>
      </c>
      <c r="D218">
        <v>0</v>
      </c>
    </row>
    <row r="219" spans="1:4">
      <c r="A219">
        <v>0</v>
      </c>
      <c r="B219">
        <v>0</v>
      </c>
      <c r="C219">
        <v>0</v>
      </c>
      <c r="D219">
        <v>0</v>
      </c>
    </row>
    <row r="220" spans="1:4">
      <c r="A220">
        <v>0</v>
      </c>
      <c r="B220">
        <v>0</v>
      </c>
      <c r="C220">
        <v>0</v>
      </c>
      <c r="D220">
        <v>0</v>
      </c>
    </row>
    <row r="221" spans="1:4">
      <c r="A221">
        <v>0</v>
      </c>
      <c r="B221">
        <v>0</v>
      </c>
      <c r="C221">
        <v>0</v>
      </c>
      <c r="D221">
        <v>0</v>
      </c>
    </row>
    <row r="222" spans="1:4">
      <c r="A222">
        <v>0</v>
      </c>
      <c r="B222">
        <v>0</v>
      </c>
      <c r="C222">
        <v>0</v>
      </c>
      <c r="D222">
        <v>0</v>
      </c>
    </row>
    <row r="223" spans="1:4">
      <c r="A223">
        <v>0</v>
      </c>
      <c r="B223">
        <v>0</v>
      </c>
      <c r="C223">
        <v>0</v>
      </c>
      <c r="D223">
        <v>0</v>
      </c>
    </row>
    <row r="224" spans="1:4">
      <c r="A224">
        <v>0</v>
      </c>
      <c r="B224">
        <v>0</v>
      </c>
      <c r="C224">
        <v>0</v>
      </c>
      <c r="D224">
        <v>0</v>
      </c>
    </row>
    <row r="225" spans="1:4">
      <c r="A225">
        <v>0</v>
      </c>
      <c r="B225">
        <v>0</v>
      </c>
      <c r="C225">
        <v>0</v>
      </c>
      <c r="D225">
        <v>0</v>
      </c>
    </row>
    <row r="226" spans="1:4">
      <c r="A226">
        <v>0</v>
      </c>
      <c r="B226">
        <v>0</v>
      </c>
      <c r="C226">
        <v>0</v>
      </c>
      <c r="D226">
        <v>0</v>
      </c>
    </row>
    <row r="227" spans="1:4">
      <c r="A227">
        <v>0</v>
      </c>
      <c r="B227">
        <v>0</v>
      </c>
      <c r="C227">
        <v>0</v>
      </c>
      <c r="D227">
        <v>0</v>
      </c>
    </row>
    <row r="228" spans="1:4">
      <c r="A228">
        <v>0</v>
      </c>
      <c r="B228">
        <v>0</v>
      </c>
      <c r="C228">
        <v>0</v>
      </c>
      <c r="D228">
        <v>0</v>
      </c>
    </row>
    <row r="229" spans="1:4">
      <c r="A229">
        <v>0</v>
      </c>
      <c r="B229">
        <v>0</v>
      </c>
      <c r="C229">
        <v>0</v>
      </c>
      <c r="D229">
        <v>0</v>
      </c>
    </row>
    <row r="230" spans="1:4">
      <c r="A230">
        <v>0</v>
      </c>
      <c r="B230">
        <v>0</v>
      </c>
      <c r="C230">
        <v>0</v>
      </c>
      <c r="D230">
        <v>0</v>
      </c>
    </row>
    <row r="231" spans="1:4">
      <c r="A231">
        <v>0</v>
      </c>
      <c r="B231">
        <v>0</v>
      </c>
      <c r="C231">
        <v>0</v>
      </c>
      <c r="D231">
        <v>0</v>
      </c>
    </row>
    <row r="232" spans="1:4">
      <c r="A232">
        <v>0</v>
      </c>
      <c r="B232">
        <v>0</v>
      </c>
      <c r="C232">
        <v>0</v>
      </c>
      <c r="D232">
        <v>0</v>
      </c>
    </row>
    <row r="233" spans="1:4">
      <c r="A233">
        <v>0</v>
      </c>
      <c r="B233">
        <v>0</v>
      </c>
      <c r="C233">
        <v>0</v>
      </c>
      <c r="D233">
        <v>0</v>
      </c>
    </row>
    <row r="234" spans="1:4">
      <c r="A234">
        <v>0</v>
      </c>
      <c r="B234">
        <v>0</v>
      </c>
      <c r="C234">
        <v>0</v>
      </c>
      <c r="D234">
        <v>0</v>
      </c>
    </row>
    <row r="235" spans="1:4">
      <c r="A235">
        <v>0</v>
      </c>
      <c r="B235">
        <v>0</v>
      </c>
      <c r="C235">
        <v>0</v>
      </c>
      <c r="D235">
        <v>0</v>
      </c>
    </row>
    <row r="236" spans="1:4">
      <c r="A236">
        <v>0</v>
      </c>
      <c r="B236">
        <v>0</v>
      </c>
      <c r="C236">
        <v>0</v>
      </c>
      <c r="D236">
        <v>0</v>
      </c>
    </row>
    <row r="237" spans="1:4">
      <c r="A237">
        <v>0</v>
      </c>
      <c r="B237">
        <v>0</v>
      </c>
      <c r="C237">
        <v>0</v>
      </c>
      <c r="D237">
        <v>0</v>
      </c>
    </row>
    <row r="238" spans="1:4">
      <c r="A238">
        <v>0</v>
      </c>
      <c r="B238">
        <v>0</v>
      </c>
      <c r="C238">
        <v>0</v>
      </c>
      <c r="D238">
        <v>0</v>
      </c>
    </row>
    <row r="239" spans="1:4">
      <c r="A239">
        <v>0</v>
      </c>
      <c r="B239">
        <v>0</v>
      </c>
      <c r="C239">
        <v>0</v>
      </c>
      <c r="D239">
        <v>0</v>
      </c>
    </row>
    <row r="240" spans="1:4">
      <c r="A240">
        <v>0</v>
      </c>
      <c r="B240">
        <v>0</v>
      </c>
      <c r="C240">
        <v>0</v>
      </c>
      <c r="D240">
        <v>0</v>
      </c>
    </row>
    <row r="241" spans="1:4">
      <c r="A241">
        <v>0</v>
      </c>
      <c r="B241">
        <v>0</v>
      </c>
      <c r="C241">
        <v>0</v>
      </c>
      <c r="D241">
        <v>0</v>
      </c>
    </row>
    <row r="242" spans="1:4">
      <c r="A242">
        <v>0</v>
      </c>
      <c r="B242">
        <v>0</v>
      </c>
      <c r="C242">
        <v>0</v>
      </c>
      <c r="D242">
        <v>0</v>
      </c>
    </row>
    <row r="243" spans="1:4">
      <c r="A243">
        <v>0</v>
      </c>
      <c r="B243">
        <v>0</v>
      </c>
      <c r="C243">
        <v>0</v>
      </c>
      <c r="D243">
        <v>0</v>
      </c>
    </row>
    <row r="244" spans="1:4">
      <c r="A244">
        <v>0</v>
      </c>
      <c r="B244">
        <v>0</v>
      </c>
      <c r="C244">
        <v>0</v>
      </c>
      <c r="D244">
        <v>0</v>
      </c>
    </row>
    <row r="245" spans="1:4">
      <c r="A245">
        <v>0</v>
      </c>
      <c r="B245">
        <v>0</v>
      </c>
      <c r="C245">
        <v>0</v>
      </c>
      <c r="D245">
        <v>0</v>
      </c>
    </row>
    <row r="246" spans="1:4">
      <c r="A246">
        <v>0</v>
      </c>
      <c r="B246">
        <v>0</v>
      </c>
      <c r="C246">
        <v>0</v>
      </c>
      <c r="D246">
        <v>0</v>
      </c>
    </row>
    <row r="247" spans="1:4">
      <c r="A247">
        <v>0</v>
      </c>
      <c r="B247">
        <v>0</v>
      </c>
      <c r="C247">
        <v>0</v>
      </c>
      <c r="D247">
        <v>0</v>
      </c>
    </row>
    <row r="248" spans="1:4">
      <c r="A248">
        <v>0</v>
      </c>
      <c r="B248">
        <v>0</v>
      </c>
      <c r="C248">
        <v>0</v>
      </c>
      <c r="D248">
        <v>0</v>
      </c>
    </row>
    <row r="249" spans="1:4">
      <c r="A249">
        <v>0</v>
      </c>
      <c r="B249">
        <v>0</v>
      </c>
      <c r="C249">
        <v>0</v>
      </c>
      <c r="D249">
        <v>0</v>
      </c>
    </row>
    <row r="250" spans="1:4">
      <c r="A250">
        <v>0</v>
      </c>
      <c r="B250">
        <v>0</v>
      </c>
      <c r="C250">
        <v>0</v>
      </c>
      <c r="D250">
        <v>0</v>
      </c>
    </row>
    <row r="251" spans="1:4">
      <c r="A251">
        <v>0</v>
      </c>
      <c r="B251">
        <v>0</v>
      </c>
      <c r="C251">
        <v>0</v>
      </c>
      <c r="D251">
        <v>0</v>
      </c>
    </row>
    <row r="252" spans="1:4">
      <c r="A252">
        <v>0</v>
      </c>
      <c r="B252">
        <v>0</v>
      </c>
      <c r="C252">
        <v>0</v>
      </c>
      <c r="D252">
        <v>0</v>
      </c>
    </row>
    <row r="253" spans="1:4">
      <c r="A253">
        <v>0</v>
      </c>
      <c r="B253">
        <v>0</v>
      </c>
      <c r="C253">
        <v>0</v>
      </c>
      <c r="D253">
        <v>0</v>
      </c>
    </row>
    <row r="254" spans="1:4">
      <c r="A254">
        <v>0</v>
      </c>
      <c r="B254">
        <v>0</v>
      </c>
      <c r="C254">
        <v>0</v>
      </c>
      <c r="D254">
        <v>0</v>
      </c>
    </row>
    <row r="255" spans="1:4">
      <c r="A255">
        <v>0</v>
      </c>
      <c r="B255">
        <v>0</v>
      </c>
      <c r="C255">
        <v>0</v>
      </c>
      <c r="D255">
        <v>0</v>
      </c>
    </row>
    <row r="256" spans="1:4">
      <c r="A256">
        <v>0</v>
      </c>
      <c r="B256">
        <v>0</v>
      </c>
      <c r="C256">
        <v>0</v>
      </c>
      <c r="D256">
        <v>0</v>
      </c>
    </row>
    <row r="257" spans="1:4">
      <c r="A257">
        <v>0</v>
      </c>
      <c r="B257">
        <v>0</v>
      </c>
      <c r="C257">
        <v>0</v>
      </c>
      <c r="D257">
        <v>0</v>
      </c>
    </row>
    <row r="258" spans="1:4">
      <c r="A258">
        <v>0</v>
      </c>
      <c r="B258">
        <v>0</v>
      </c>
      <c r="C258">
        <v>0</v>
      </c>
      <c r="D258">
        <v>0</v>
      </c>
    </row>
    <row r="259" spans="1:4">
      <c r="A259">
        <v>0</v>
      </c>
      <c r="B259">
        <v>0</v>
      </c>
      <c r="C259">
        <v>0</v>
      </c>
      <c r="D259">
        <v>0</v>
      </c>
    </row>
    <row r="260" spans="1:4">
      <c r="A260">
        <v>0</v>
      </c>
      <c r="B260">
        <v>0</v>
      </c>
      <c r="C260">
        <v>0</v>
      </c>
      <c r="D260">
        <v>0</v>
      </c>
    </row>
    <row r="261" spans="1:4">
      <c r="A261">
        <v>0</v>
      </c>
      <c r="B261">
        <v>0</v>
      </c>
      <c r="C261">
        <v>0</v>
      </c>
      <c r="D261">
        <v>0</v>
      </c>
    </row>
    <row r="262" spans="1:4">
      <c r="A262">
        <v>0</v>
      </c>
      <c r="B262">
        <v>0</v>
      </c>
      <c r="C262">
        <v>0</v>
      </c>
      <c r="D262">
        <v>0</v>
      </c>
    </row>
    <row r="263" spans="1:4">
      <c r="A263">
        <v>0</v>
      </c>
      <c r="B263">
        <v>0</v>
      </c>
      <c r="C263">
        <v>0</v>
      </c>
      <c r="D263">
        <v>0</v>
      </c>
    </row>
    <row r="264" spans="1:4">
      <c r="A264">
        <v>0</v>
      </c>
      <c r="B264">
        <v>0</v>
      </c>
      <c r="C264">
        <v>0</v>
      </c>
      <c r="D264">
        <v>0</v>
      </c>
    </row>
    <row r="265" spans="1:4">
      <c r="A265">
        <v>0</v>
      </c>
      <c r="B265">
        <v>0</v>
      </c>
      <c r="C265">
        <v>0</v>
      </c>
      <c r="D265">
        <v>0</v>
      </c>
    </row>
    <row r="266" spans="1:4">
      <c r="A266">
        <v>0</v>
      </c>
      <c r="B266">
        <v>0</v>
      </c>
      <c r="C266">
        <v>0</v>
      </c>
      <c r="D266">
        <v>0</v>
      </c>
    </row>
    <row r="267" spans="1:4">
      <c r="A267">
        <v>0</v>
      </c>
      <c r="B267">
        <v>0</v>
      </c>
      <c r="C267">
        <v>0</v>
      </c>
      <c r="D267">
        <v>0</v>
      </c>
    </row>
    <row r="268" spans="1:4">
      <c r="A268">
        <v>0</v>
      </c>
      <c r="B268">
        <v>0</v>
      </c>
      <c r="C268">
        <v>0</v>
      </c>
      <c r="D268">
        <v>0</v>
      </c>
    </row>
    <row r="269" spans="1:4">
      <c r="A269">
        <v>0</v>
      </c>
      <c r="B269">
        <v>0</v>
      </c>
      <c r="C269">
        <v>0</v>
      </c>
      <c r="D269">
        <v>0</v>
      </c>
    </row>
    <row r="270" spans="1:4">
      <c r="A270">
        <v>0</v>
      </c>
      <c r="B270">
        <v>0</v>
      </c>
      <c r="C270">
        <v>0</v>
      </c>
      <c r="D270">
        <v>0</v>
      </c>
    </row>
    <row r="271" spans="1:4">
      <c r="A271">
        <v>0</v>
      </c>
      <c r="B271">
        <v>0</v>
      </c>
      <c r="C271">
        <v>0</v>
      </c>
      <c r="D271">
        <v>0</v>
      </c>
    </row>
    <row r="272" spans="1:4">
      <c r="A272">
        <v>0</v>
      </c>
      <c r="B272">
        <v>0</v>
      </c>
      <c r="C272">
        <v>0</v>
      </c>
      <c r="D272">
        <v>0</v>
      </c>
    </row>
    <row r="273" spans="1:4">
      <c r="A273">
        <v>0</v>
      </c>
      <c r="B273">
        <v>0</v>
      </c>
      <c r="C273">
        <v>0</v>
      </c>
      <c r="D273">
        <v>0</v>
      </c>
    </row>
    <row r="274" spans="1:4">
      <c r="A274">
        <v>0</v>
      </c>
      <c r="B274">
        <v>0</v>
      </c>
      <c r="C274">
        <v>0</v>
      </c>
      <c r="D274">
        <v>0</v>
      </c>
    </row>
    <row r="275" spans="1:4">
      <c r="A275">
        <v>0</v>
      </c>
      <c r="B275">
        <v>0</v>
      </c>
      <c r="C275">
        <v>0</v>
      </c>
      <c r="D275">
        <v>0</v>
      </c>
    </row>
    <row r="276" spans="1:4">
      <c r="A276">
        <v>0</v>
      </c>
      <c r="B276">
        <v>0</v>
      </c>
      <c r="C276">
        <v>0</v>
      </c>
      <c r="D276">
        <v>0</v>
      </c>
    </row>
    <row r="277" spans="1:4">
      <c r="A277">
        <v>0</v>
      </c>
      <c r="B277">
        <v>0</v>
      </c>
      <c r="C277">
        <v>0</v>
      </c>
      <c r="D277">
        <v>0</v>
      </c>
    </row>
    <row r="278" spans="1:4">
      <c r="A278">
        <v>0</v>
      </c>
      <c r="B278">
        <v>0</v>
      </c>
      <c r="C278">
        <v>0</v>
      </c>
      <c r="D278">
        <v>0</v>
      </c>
    </row>
    <row r="279" spans="1:4">
      <c r="A279">
        <v>0</v>
      </c>
      <c r="B279">
        <v>0</v>
      </c>
      <c r="C279">
        <v>0</v>
      </c>
      <c r="D279">
        <v>0</v>
      </c>
    </row>
    <row r="280" spans="1:4">
      <c r="A280">
        <v>0</v>
      </c>
      <c r="B280">
        <v>0</v>
      </c>
      <c r="C280">
        <v>0</v>
      </c>
      <c r="D280">
        <v>0</v>
      </c>
    </row>
    <row r="281" spans="1:4">
      <c r="A281">
        <v>0</v>
      </c>
      <c r="B281">
        <v>0</v>
      </c>
      <c r="C281">
        <v>0</v>
      </c>
      <c r="D281">
        <v>0</v>
      </c>
    </row>
    <row r="282" spans="1:4">
      <c r="A282">
        <v>0</v>
      </c>
      <c r="B282">
        <v>0</v>
      </c>
      <c r="C282">
        <v>0</v>
      </c>
      <c r="D282">
        <v>0</v>
      </c>
    </row>
    <row r="283" spans="1:4">
      <c r="A283">
        <v>0</v>
      </c>
      <c r="B283">
        <v>0</v>
      </c>
      <c r="C283">
        <v>0</v>
      </c>
      <c r="D283">
        <v>0</v>
      </c>
    </row>
    <row r="284" spans="1:4">
      <c r="A284">
        <v>0</v>
      </c>
      <c r="B284">
        <v>0</v>
      </c>
      <c r="C284">
        <v>0</v>
      </c>
      <c r="D284">
        <v>0</v>
      </c>
    </row>
    <row r="285" spans="1:4">
      <c r="A285">
        <v>0</v>
      </c>
      <c r="B285">
        <v>0</v>
      </c>
      <c r="C285">
        <v>0</v>
      </c>
      <c r="D285">
        <v>0</v>
      </c>
    </row>
    <row r="286" spans="1:4">
      <c r="A286">
        <v>0</v>
      </c>
      <c r="B286">
        <v>0</v>
      </c>
      <c r="C286">
        <v>0</v>
      </c>
      <c r="D286">
        <v>0</v>
      </c>
    </row>
    <row r="287" spans="1:4">
      <c r="A287">
        <v>0</v>
      </c>
      <c r="B287">
        <v>0</v>
      </c>
      <c r="C287">
        <v>0</v>
      </c>
      <c r="D287">
        <v>0</v>
      </c>
    </row>
    <row r="288" spans="1:4">
      <c r="A288">
        <v>0</v>
      </c>
      <c r="B288">
        <v>0</v>
      </c>
      <c r="C288">
        <v>0</v>
      </c>
      <c r="D288">
        <v>0</v>
      </c>
    </row>
    <row r="289" spans="1:4">
      <c r="A289">
        <v>0</v>
      </c>
      <c r="B289">
        <v>0</v>
      </c>
      <c r="C289">
        <v>0</v>
      </c>
      <c r="D289">
        <v>0</v>
      </c>
    </row>
    <row r="290" spans="1:4">
      <c r="A290">
        <v>0</v>
      </c>
      <c r="B290">
        <v>0</v>
      </c>
      <c r="C290">
        <v>0</v>
      </c>
      <c r="D290">
        <v>0</v>
      </c>
    </row>
    <row r="291" spans="1:4">
      <c r="A291">
        <v>0</v>
      </c>
      <c r="B291">
        <v>0</v>
      </c>
      <c r="C291">
        <v>0</v>
      </c>
      <c r="D291">
        <v>0</v>
      </c>
    </row>
    <row r="292" spans="1:4">
      <c r="A292">
        <v>0</v>
      </c>
      <c r="B292">
        <v>0</v>
      </c>
      <c r="C292">
        <v>0</v>
      </c>
      <c r="D292">
        <v>0</v>
      </c>
    </row>
    <row r="293" spans="1:4">
      <c r="A293">
        <v>0</v>
      </c>
      <c r="B293">
        <v>0</v>
      </c>
      <c r="C293">
        <v>0</v>
      </c>
      <c r="D293">
        <v>0</v>
      </c>
    </row>
    <row r="294" spans="1:4">
      <c r="A294">
        <v>0</v>
      </c>
      <c r="B294">
        <v>0</v>
      </c>
      <c r="C294">
        <v>0</v>
      </c>
      <c r="D294">
        <v>0</v>
      </c>
    </row>
    <row r="295" spans="1:4">
      <c r="A295">
        <v>0</v>
      </c>
      <c r="B295">
        <v>0</v>
      </c>
      <c r="C295">
        <v>0</v>
      </c>
      <c r="D295">
        <v>0</v>
      </c>
    </row>
    <row r="296" spans="1:4">
      <c r="A296">
        <v>0</v>
      </c>
      <c r="B296">
        <v>0</v>
      </c>
      <c r="C296">
        <v>0</v>
      </c>
      <c r="D296">
        <v>0</v>
      </c>
    </row>
    <row r="297" spans="1:4">
      <c r="A297">
        <v>0</v>
      </c>
      <c r="B297">
        <v>0</v>
      </c>
      <c r="C297">
        <v>0</v>
      </c>
      <c r="D297">
        <v>0</v>
      </c>
    </row>
    <row r="298" spans="1:4">
      <c r="A298">
        <v>0</v>
      </c>
      <c r="B298">
        <v>0</v>
      </c>
      <c r="C298">
        <v>0</v>
      </c>
      <c r="D298">
        <v>0</v>
      </c>
    </row>
    <row r="299" spans="1:4">
      <c r="A299">
        <v>0</v>
      </c>
      <c r="B299">
        <v>0</v>
      </c>
      <c r="C299">
        <v>0</v>
      </c>
      <c r="D299">
        <v>0</v>
      </c>
    </row>
    <row r="300" spans="1:4">
      <c r="A300">
        <v>0</v>
      </c>
      <c r="B300">
        <v>0</v>
      </c>
      <c r="C300">
        <v>0</v>
      </c>
      <c r="D300">
        <v>0</v>
      </c>
    </row>
    <row r="301" spans="1:4">
      <c r="A301">
        <v>0</v>
      </c>
      <c r="B301">
        <v>0</v>
      </c>
      <c r="C301">
        <v>0</v>
      </c>
      <c r="D301">
        <v>0</v>
      </c>
    </row>
    <row r="302" spans="1:4">
      <c r="A302">
        <v>0</v>
      </c>
      <c r="B302">
        <v>0</v>
      </c>
      <c r="C302">
        <v>0</v>
      </c>
      <c r="D302">
        <v>0</v>
      </c>
    </row>
    <row r="303" spans="1:4">
      <c r="A303">
        <v>0</v>
      </c>
      <c r="B303">
        <v>0</v>
      </c>
      <c r="C303">
        <v>0</v>
      </c>
      <c r="D303">
        <v>0</v>
      </c>
    </row>
    <row r="304" spans="1:4">
      <c r="A304">
        <v>0</v>
      </c>
      <c r="B304">
        <v>0</v>
      </c>
      <c r="C304">
        <v>0</v>
      </c>
      <c r="D304">
        <v>0</v>
      </c>
    </row>
    <row r="305" spans="1:4">
      <c r="A305">
        <v>0</v>
      </c>
      <c r="B305">
        <v>0</v>
      </c>
      <c r="C305">
        <v>0</v>
      </c>
      <c r="D305">
        <v>0</v>
      </c>
    </row>
    <row r="306" spans="1:4">
      <c r="A306">
        <v>0</v>
      </c>
      <c r="B306">
        <v>0</v>
      </c>
      <c r="C306">
        <v>0</v>
      </c>
      <c r="D306">
        <v>0</v>
      </c>
    </row>
    <row r="307" spans="1:4">
      <c r="A307">
        <v>0</v>
      </c>
      <c r="B307">
        <v>0</v>
      </c>
      <c r="C307">
        <v>0</v>
      </c>
      <c r="D307">
        <v>0</v>
      </c>
    </row>
    <row r="308" spans="1:4">
      <c r="A308">
        <v>0</v>
      </c>
      <c r="B308">
        <v>0</v>
      </c>
      <c r="C308">
        <v>0</v>
      </c>
      <c r="D308">
        <v>0</v>
      </c>
    </row>
    <row r="309" spans="1:4">
      <c r="A309">
        <v>0</v>
      </c>
      <c r="B309">
        <v>0</v>
      </c>
      <c r="C309">
        <v>0</v>
      </c>
      <c r="D309">
        <v>0</v>
      </c>
    </row>
    <row r="310" spans="1:4">
      <c r="A310">
        <v>0</v>
      </c>
      <c r="B310">
        <v>0</v>
      </c>
      <c r="C310">
        <v>0</v>
      </c>
      <c r="D310">
        <v>0</v>
      </c>
    </row>
    <row r="311" spans="1:4">
      <c r="A311">
        <v>0</v>
      </c>
      <c r="B311">
        <v>0</v>
      </c>
      <c r="C311">
        <v>0</v>
      </c>
      <c r="D311">
        <v>0</v>
      </c>
    </row>
    <row r="312" spans="1:4">
      <c r="A312">
        <v>0</v>
      </c>
      <c r="B312">
        <v>0</v>
      </c>
      <c r="C312">
        <v>0</v>
      </c>
      <c r="D312">
        <v>0</v>
      </c>
    </row>
    <row r="313" spans="1:4">
      <c r="A313">
        <v>0</v>
      </c>
      <c r="B313">
        <v>0</v>
      </c>
      <c r="C313">
        <v>0</v>
      </c>
      <c r="D313">
        <v>0</v>
      </c>
    </row>
    <row r="314" spans="1:4">
      <c r="A314">
        <v>0</v>
      </c>
      <c r="B314">
        <v>0</v>
      </c>
      <c r="C314">
        <v>0</v>
      </c>
      <c r="D314">
        <v>0</v>
      </c>
    </row>
    <row r="315" spans="1:4">
      <c r="A315">
        <v>0</v>
      </c>
      <c r="B315">
        <v>0</v>
      </c>
      <c r="C315">
        <v>0</v>
      </c>
      <c r="D315">
        <v>0</v>
      </c>
    </row>
    <row r="316" spans="1:4">
      <c r="A316">
        <v>0</v>
      </c>
      <c r="B316">
        <v>0</v>
      </c>
      <c r="C316">
        <v>0</v>
      </c>
      <c r="D316">
        <v>0</v>
      </c>
    </row>
    <row r="317" spans="1:4">
      <c r="A317">
        <v>0</v>
      </c>
      <c r="B317">
        <v>0</v>
      </c>
      <c r="C317">
        <v>0</v>
      </c>
      <c r="D317">
        <v>0</v>
      </c>
    </row>
    <row r="318" spans="1:4">
      <c r="A318">
        <v>0</v>
      </c>
      <c r="B318">
        <v>0</v>
      </c>
      <c r="C318">
        <v>0</v>
      </c>
      <c r="D318">
        <v>0</v>
      </c>
    </row>
    <row r="319" spans="1:4">
      <c r="A319">
        <v>0</v>
      </c>
      <c r="B319">
        <v>0</v>
      </c>
      <c r="C319">
        <v>0</v>
      </c>
      <c r="D319">
        <v>0</v>
      </c>
    </row>
    <row r="320" spans="1:4">
      <c r="A320">
        <v>0</v>
      </c>
      <c r="B320">
        <v>0</v>
      </c>
      <c r="C320">
        <v>0</v>
      </c>
      <c r="D320">
        <v>0</v>
      </c>
    </row>
    <row r="321" spans="1:4">
      <c r="A321">
        <v>0</v>
      </c>
      <c r="B321">
        <v>0</v>
      </c>
      <c r="C321">
        <v>0</v>
      </c>
      <c r="D321">
        <v>0</v>
      </c>
    </row>
    <row r="322" spans="1:4">
      <c r="A322">
        <v>0</v>
      </c>
      <c r="B322">
        <v>0</v>
      </c>
      <c r="C322">
        <v>0</v>
      </c>
      <c r="D322">
        <v>0</v>
      </c>
    </row>
    <row r="323" spans="1:4">
      <c r="A323">
        <v>0</v>
      </c>
      <c r="B323">
        <v>0</v>
      </c>
      <c r="C323">
        <v>0</v>
      </c>
      <c r="D323">
        <v>0</v>
      </c>
    </row>
    <row r="324" spans="1:4">
      <c r="A324">
        <v>0</v>
      </c>
      <c r="B324">
        <v>0</v>
      </c>
      <c r="C324">
        <v>0</v>
      </c>
      <c r="D324">
        <v>0</v>
      </c>
    </row>
    <row r="325" spans="1:4">
      <c r="A325">
        <v>0</v>
      </c>
      <c r="B325">
        <v>0</v>
      </c>
      <c r="C325">
        <v>0</v>
      </c>
      <c r="D325">
        <v>0</v>
      </c>
    </row>
    <row r="326" spans="1:4">
      <c r="A326">
        <v>0</v>
      </c>
      <c r="B326">
        <v>0</v>
      </c>
      <c r="C326">
        <v>0</v>
      </c>
      <c r="D326">
        <v>0</v>
      </c>
    </row>
    <row r="327" spans="1:4">
      <c r="A327">
        <v>0</v>
      </c>
      <c r="B327">
        <v>0</v>
      </c>
      <c r="C327">
        <v>0</v>
      </c>
      <c r="D327">
        <v>0</v>
      </c>
    </row>
    <row r="328" spans="1:4">
      <c r="A328">
        <v>0</v>
      </c>
      <c r="B328">
        <v>0</v>
      </c>
      <c r="C328">
        <v>0</v>
      </c>
      <c r="D328">
        <v>0</v>
      </c>
    </row>
    <row r="329" spans="1:4">
      <c r="A329">
        <v>0</v>
      </c>
      <c r="B329">
        <v>0</v>
      </c>
      <c r="C329">
        <v>0</v>
      </c>
      <c r="D329">
        <v>0</v>
      </c>
    </row>
    <row r="330" spans="1:4">
      <c r="A330">
        <v>0</v>
      </c>
      <c r="B330">
        <v>0</v>
      </c>
      <c r="C330">
        <v>0</v>
      </c>
      <c r="D330">
        <v>0</v>
      </c>
    </row>
    <row r="331" spans="1:4">
      <c r="A331">
        <v>0</v>
      </c>
      <c r="B331">
        <v>0</v>
      </c>
      <c r="C331">
        <v>0</v>
      </c>
      <c r="D331">
        <v>0</v>
      </c>
    </row>
  </sheetData>
  <sheetProtection password="E4E4" sheet="1" objects="1" scenarios="1"/>
  <mergeCells count="133">
    <mergeCell ref="G2:I2"/>
    <mergeCell ref="J2:L2"/>
    <mergeCell ref="M2:O2"/>
    <mergeCell ref="G3:I3"/>
    <mergeCell ref="G4:I4"/>
    <mergeCell ref="G5:I5"/>
    <mergeCell ref="G6:I6"/>
    <mergeCell ref="G7:I7"/>
    <mergeCell ref="G8:I8"/>
    <mergeCell ref="J3:L3"/>
    <mergeCell ref="J4:L4"/>
    <mergeCell ref="J5:L5"/>
    <mergeCell ref="J6:L6"/>
    <mergeCell ref="J7:L7"/>
    <mergeCell ref="J8:L8"/>
    <mergeCell ref="M3:O3"/>
    <mergeCell ref="M4:O4"/>
    <mergeCell ref="M5:O5"/>
    <mergeCell ref="M6:O6"/>
    <mergeCell ref="M7:O7"/>
    <mergeCell ref="M8:O8"/>
    <mergeCell ref="F1:P1"/>
    <mergeCell ref="F10:P10"/>
    <mergeCell ref="F11:P11"/>
    <mergeCell ref="F12:P12"/>
    <mergeCell ref="F13:P13"/>
    <mergeCell ref="F14:P14"/>
    <mergeCell ref="F15:P15"/>
    <mergeCell ref="F16:P16"/>
    <mergeCell ref="F17:P17"/>
    <mergeCell ref="F18:P18"/>
    <mergeCell ref="F19:P1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F41:P41"/>
    <mergeCell ref="F42:P42"/>
    <mergeCell ref="F43:P43"/>
    <mergeCell ref="F44:P44"/>
    <mergeCell ref="F45:P45"/>
    <mergeCell ref="F46:P46"/>
    <mergeCell ref="F47:P47"/>
    <mergeCell ref="F48:P48"/>
    <mergeCell ref="F49:P49"/>
    <mergeCell ref="F50:P50"/>
    <mergeCell ref="F51:P51"/>
    <mergeCell ref="F52:P52"/>
    <mergeCell ref="F53:P53"/>
    <mergeCell ref="F54:P54"/>
    <mergeCell ref="F55:P55"/>
    <mergeCell ref="F56:P56"/>
    <mergeCell ref="F57:P57"/>
    <mergeCell ref="F58:P58"/>
    <mergeCell ref="F59:P59"/>
    <mergeCell ref="F60:P60"/>
    <mergeCell ref="F61:P61"/>
    <mergeCell ref="F62:P62"/>
    <mergeCell ref="F63:P63"/>
    <mergeCell ref="F64:P64"/>
    <mergeCell ref="F65:P65"/>
    <mergeCell ref="F66:P66"/>
    <mergeCell ref="F67:P67"/>
    <mergeCell ref="F68:P68"/>
    <mergeCell ref="F69:P69"/>
    <mergeCell ref="F70:P70"/>
    <mergeCell ref="F71:P71"/>
    <mergeCell ref="F72:P72"/>
    <mergeCell ref="F73:P73"/>
    <mergeCell ref="F74:P74"/>
    <mergeCell ref="F75:P75"/>
    <mergeCell ref="F76:P76"/>
    <mergeCell ref="F77:P77"/>
    <mergeCell ref="F78:P78"/>
    <mergeCell ref="F79:P79"/>
    <mergeCell ref="F80:P80"/>
    <mergeCell ref="F81:P81"/>
    <mergeCell ref="F82:P82"/>
    <mergeCell ref="F83:P83"/>
    <mergeCell ref="F84:P84"/>
    <mergeCell ref="F85:P85"/>
    <mergeCell ref="F86:P86"/>
    <mergeCell ref="F87:P87"/>
    <mergeCell ref="F88:P88"/>
    <mergeCell ref="F89:P89"/>
    <mergeCell ref="F90:P90"/>
    <mergeCell ref="F91:P91"/>
    <mergeCell ref="F92:P92"/>
    <mergeCell ref="F93:P93"/>
    <mergeCell ref="F94:P94"/>
    <mergeCell ref="F95:P95"/>
    <mergeCell ref="F96:P96"/>
    <mergeCell ref="F97:P97"/>
    <mergeCell ref="F98:P98"/>
    <mergeCell ref="F99:P99"/>
    <mergeCell ref="F100:P100"/>
    <mergeCell ref="F101:P101"/>
    <mergeCell ref="F102:P102"/>
    <mergeCell ref="F103:P103"/>
    <mergeCell ref="F104:P104"/>
    <mergeCell ref="F105:P105"/>
    <mergeCell ref="F106:P106"/>
    <mergeCell ref="F107:P107"/>
    <mergeCell ref="F108:P108"/>
    <mergeCell ref="F109:P109"/>
    <mergeCell ref="F110:P110"/>
    <mergeCell ref="F111:P111"/>
    <mergeCell ref="F112:P112"/>
    <mergeCell ref="F113:P113"/>
    <mergeCell ref="F114:P114"/>
    <mergeCell ref="F115:P115"/>
    <mergeCell ref="F116:P116"/>
    <mergeCell ref="F117:P117"/>
    <mergeCell ref="F118:P118"/>
    <mergeCell ref="F119:P119"/>
    <mergeCell ref="F120:P120"/>
  </mergeCells>
  <hyperlinks>
    <hyperlink ref="F2" location="HOME!A1" display="HOME"/>
    <hyperlink ref="G3" location="'DASHBOARD- PRACTICES'!A1" display="Practice Answers"/>
    <hyperlink ref="J3" location="'practices&gt;Yes'!F1" display="Yes"/>
    <hyperlink ref="M3" location="'Docs&gt;Completed'!F1" display="Completed"/>
    <hyperlink ref="G4" location="'DASHBOARD- OBJECTIVE EVIDENCE'!A1" display="Objective Evidence"/>
    <hyperlink ref="J4" location="'practices&gt;It Does Not Apply'!F1" display="It Does Not Apply"/>
    <hyperlink ref="M4" location="'Docs&gt;Partially Completed'!F1" display="Partially Completed"/>
    <hyperlink ref="G5" location="'DASHBOARD- DOCUMENTATION'!A1" display="Documentation Answers"/>
    <hyperlink ref="J5" location="'practices&gt;Partially'!F1" display="Partially"/>
    <hyperlink ref="M5" location="'Docs&gt;Not Yet Started'!F1" display="Not Yet Started"/>
    <hyperlink ref="G6" location="'CDN-FACILITATED_PRACTICES'!A1" display="CDN-Facilitated Practices"/>
    <hyperlink ref="J6" location="'practices&gt;I Have Done An Altern'!F1" display="I Have Done An Alternative Approach"/>
    <hyperlink ref="M6" location="'Docs&gt;No Answer'!F1" display="No Answer"/>
    <hyperlink ref="J7" location="'practices&gt;No'!F1" display="No"/>
    <hyperlink ref="J8" location="'practices&gt;No Answer'!F1" display="No Answer"/>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K473"/>
  <sheetViews>
    <sheetView workbookViewId="0"/>
  </sheetViews>
  <sheetFormatPr defaultRowHeight="15"/>
  <sheetData>
    <row r="1" spans="1:11">
      <c r="A1" t="s">
        <v>775</v>
      </c>
      <c r="B1" t="s">
        <v>776</v>
      </c>
      <c r="C1" t="s">
        <v>777</v>
      </c>
      <c r="D1" t="s">
        <v>778</v>
      </c>
      <c r="E1" t="s">
        <v>779</v>
      </c>
      <c r="J1" t="s">
        <v>918</v>
      </c>
      <c r="K1" t="s">
        <v>919</v>
      </c>
    </row>
    <row r="2" spans="1:11">
      <c r="A2">
        <f>"DOCUMENTATION-AC-AUTHORIZE REMOTE EXECUTION OF PRIVILEGED COMMANDS AND REMOTE ACCESS TO SECURITY-RELEVANT INFORMATION."</f>
        <v>0</v>
      </c>
      <c r="B2" t="s">
        <v>780</v>
      </c>
      <c r="C2" t="s">
        <v>781</v>
      </c>
      <c r="D2" t="s">
        <v>643</v>
      </c>
      <c r="E2" t="s">
        <v>782</v>
      </c>
      <c r="J2">
        <f>"A1:E473"</f>
        <v>0</v>
      </c>
      <c r="K2">
        <f>472</f>
        <v>0</v>
      </c>
    </row>
    <row r="3" spans="1:11">
      <c r="A3">
        <f>"DOCUMENTATION-AC-AUTHORIZE WIRELESS ACCESS PRIOR TO ALLOWING SUCH CONNECTIONS."</f>
        <v>0</v>
      </c>
      <c r="B3" t="s">
        <v>780</v>
      </c>
      <c r="C3" t="s">
        <v>781</v>
      </c>
      <c r="D3" t="s">
        <v>644</v>
      </c>
      <c r="E3" t="s">
        <v>783</v>
      </c>
    </row>
    <row r="4" spans="1:11">
      <c r="A4">
        <f>"DOCUMENTATION-AC-CONTROL CONNECTION OF MOBILE DEVICES."</f>
        <v>0</v>
      </c>
      <c r="B4" t="s">
        <v>780</v>
      </c>
      <c r="C4" t="s">
        <v>781</v>
      </c>
      <c r="D4" t="s">
        <v>646</v>
      </c>
      <c r="E4" t="s">
        <v>784</v>
      </c>
    </row>
    <row r="5" spans="1:11">
      <c r="A5">
        <f>"DOCUMENTATION-AC-CONTROL INFORMATION POSTED OR PROCESSED ON PUBLICLY ACCESSIBLE INFORMATION SYSTEMS"</f>
        <v>0</v>
      </c>
      <c r="B5" t="s">
        <v>780</v>
      </c>
      <c r="C5" t="s">
        <v>781</v>
      </c>
      <c r="D5" t="s">
        <v>637</v>
      </c>
      <c r="E5" t="s">
        <v>785</v>
      </c>
    </row>
    <row r="6" spans="1:11">
      <c r="A6">
        <f>"DOCUMENTATION-AC-CONTROL THE FLOW OF CUI IN ACCORDANCE WITH APPROVED AUTHORIZATIONS."</f>
        <v>0</v>
      </c>
      <c r="B6" t="s">
        <v>780</v>
      </c>
      <c r="C6" t="s">
        <v>781</v>
      </c>
      <c r="D6" t="s">
        <v>649</v>
      </c>
      <c r="E6" t="s">
        <v>786</v>
      </c>
    </row>
    <row r="7" spans="1:11">
      <c r="A7">
        <f>"DOCUMENTATION-AC-EMPLOY CRYPTOGRAPHIC MECHANISMS TO PROTECT THE CONFIDENTIALITY OF REMOTE ACCESS SESSIONS."</f>
        <v>0</v>
      </c>
      <c r="B7" t="s">
        <v>780</v>
      </c>
      <c r="C7" t="s">
        <v>781</v>
      </c>
      <c r="D7" t="s">
        <v>641</v>
      </c>
      <c r="E7" t="s">
        <v>787</v>
      </c>
    </row>
    <row r="8" spans="1:11">
      <c r="A8">
        <f>"DOCUMENTATION-AC-EMPLOY THE PRINCIPLE OF LEAST PRIVILEGE, INCLUDING FOR SPECIFIC SECURITY FUNCTIONS AND PRIVILEGED ACCOUNTS."</f>
        <v>0</v>
      </c>
      <c r="B8" t="s">
        <v>780</v>
      </c>
      <c r="C8" t="s">
        <v>781</v>
      </c>
      <c r="D8" t="s">
        <v>651</v>
      </c>
      <c r="E8" t="s">
        <v>788</v>
      </c>
    </row>
    <row r="9" spans="1:11">
      <c r="A9">
        <f>"DOCUMENTATION-AC-ENCRYPT CUI ON MOBILE DEVICES AND MOBILE COMPUTING PLATFORMS."</f>
        <v>0</v>
      </c>
      <c r="B9" t="s">
        <v>780</v>
      </c>
      <c r="C9" t="s">
        <v>781</v>
      </c>
      <c r="D9" t="s">
        <v>647</v>
      </c>
      <c r="E9" t="s">
        <v>789</v>
      </c>
    </row>
    <row r="10" spans="1:11">
      <c r="A10">
        <f>"DOCUMENTATION-AC-LIMIT INFORMATION SYSTEM ACCESS TO AUTHORIZED USERS, PROCESSES ACTING ON BEHALF OF AUTHORIZED USERS, OR DEVICES (INCLUDING OTHER INFORMATION SYSTEMS) "</f>
        <v>0</v>
      </c>
      <c r="B10" t="s">
        <v>780</v>
      </c>
      <c r="C10" t="s">
        <v>781</v>
      </c>
      <c r="D10" t="s">
        <v>634</v>
      </c>
      <c r="E10" t="s">
        <v>790</v>
      </c>
    </row>
    <row r="11" spans="1:11">
      <c r="A11">
        <f>"DOCUMENTATION-AC-LIMIT INFORMATION SYSTEM ACCESS TO THE TYPES OF TRANSACTIONS AND FUNCTIONS THAT AUTHORIZED USERS ARE PERMITTED TO EXECUTE."</f>
        <v>0</v>
      </c>
      <c r="B11" t="s">
        <v>780</v>
      </c>
      <c r="C11" t="s">
        <v>781</v>
      </c>
      <c r="D11" t="s">
        <v>635</v>
      </c>
      <c r="E11" t="s">
        <v>791</v>
      </c>
    </row>
    <row r="12" spans="1:11">
      <c r="A12">
        <f>"DOCUMENTATION-AC-LIMIT UNSUCCESSFUL LOGON ATTEMPTS."</f>
        <v>0</v>
      </c>
      <c r="B12" t="s">
        <v>780</v>
      </c>
      <c r="C12" t="s">
        <v>781</v>
      </c>
      <c r="D12" t="s">
        <v>654</v>
      </c>
      <c r="E12" t="s">
        <v>792</v>
      </c>
    </row>
    <row r="13" spans="1:11">
      <c r="A13">
        <f>"DOCUMENTATION-AC-LIMIT USE OF PORTABLE STORAGE DEVICES ON EXTERNAL SYSTEMS."</f>
        <v>0</v>
      </c>
      <c r="B13" t="s">
        <v>780</v>
      </c>
      <c r="C13" t="s">
        <v>781</v>
      </c>
      <c r="D13" t="s">
        <v>648</v>
      </c>
      <c r="E13" t="s">
        <v>793</v>
      </c>
    </row>
    <row r="14" spans="1:11">
      <c r="A14">
        <f>"DOCUMENTATION-AC-MONITOR AND CONTROL REMOTE ACCESS SESSIONS."</f>
        <v>0</v>
      </c>
      <c r="B14" t="s">
        <v>780</v>
      </c>
      <c r="C14" t="s">
        <v>781</v>
      </c>
      <c r="D14" t="s">
        <v>640</v>
      </c>
      <c r="E14" t="s">
        <v>794</v>
      </c>
    </row>
    <row r="15" spans="1:11">
      <c r="A15">
        <f>"DOCUMENTATION-AC-PREVENT NON-PRIVILEGED USERS FROM EXECUTING PRIVILEGED FUNCTIONS AND CAPTURE THE EXECUTION OF SUCH FUNCTIONS IN AUDIT LOGS."</f>
        <v>0</v>
      </c>
      <c r="B15" t="s">
        <v>780</v>
      </c>
      <c r="C15" t="s">
        <v>781</v>
      </c>
      <c r="D15" t="s">
        <v>653</v>
      </c>
      <c r="E15" t="s">
        <v>795</v>
      </c>
    </row>
    <row r="16" spans="1:11">
      <c r="A16">
        <f>"DOCUMENTATION-AC-PROTECT WIRELESS ACCESS USING AUTHENTICATION AND ENCRYPTION."</f>
        <v>0</v>
      </c>
      <c r="B16" t="s">
        <v>780</v>
      </c>
      <c r="C16" t="s">
        <v>781</v>
      </c>
      <c r="D16" t="s">
        <v>645</v>
      </c>
      <c r="E16" t="s">
        <v>796</v>
      </c>
    </row>
    <row r="17" spans="1:5">
      <c r="A17">
        <f>"DOCUMENTATION-AC-PROVIDE PRIVACY AND SECURITY NOTICES CONSISTENT WITH APPLICABLE CUI RULES."</f>
        <v>0</v>
      </c>
      <c r="B17" t="s">
        <v>780</v>
      </c>
      <c r="C17" t="s">
        <v>781</v>
      </c>
      <c r="D17" t="s">
        <v>655</v>
      </c>
      <c r="E17" t="s">
        <v>797</v>
      </c>
    </row>
    <row r="18" spans="1:5">
      <c r="A18">
        <f>"DOCUMENTATION-AC-ROUTE REMOTE ACCESS VIA MANAGED ACCESS CONTROL POINTS."</f>
        <v>0</v>
      </c>
      <c r="B18" t="s">
        <v>780</v>
      </c>
      <c r="C18" t="s">
        <v>781</v>
      </c>
      <c r="D18" t="s">
        <v>642</v>
      </c>
      <c r="E18" t="s">
        <v>798</v>
      </c>
    </row>
    <row r="19" spans="1:5">
      <c r="A19">
        <f>"DOCUMENTATION-AC-SEPARATE THE DUTIES OF INDIVIDUALS TO REDUCE THE RISK OF MALEVOLENT ACTIVITY WITHOUT COLLUSION."</f>
        <v>0</v>
      </c>
      <c r="B19" t="s">
        <v>780</v>
      </c>
      <c r="C19" t="s">
        <v>781</v>
      </c>
      <c r="D19" t="s">
        <v>650</v>
      </c>
      <c r="E19" t="s">
        <v>799</v>
      </c>
    </row>
    <row r="20" spans="1:5">
      <c r="A20">
        <f>"DOCUMENTATION-AC-TERMINATE (AUTOMATICALLY) USER SESSIONS AFTER A DEFINED CONDITION."</f>
        <v>0</v>
      </c>
      <c r="B20" t="s">
        <v>780</v>
      </c>
      <c r="C20" t="s">
        <v>781</v>
      </c>
      <c r="D20" t="s">
        <v>639</v>
      </c>
      <c r="E20" t="s">
        <v>800</v>
      </c>
    </row>
    <row r="21" spans="1:5">
      <c r="A21">
        <f>"DOCUMENTATION-AC-USE NON-PRIVILEGED ACCOUNTS OR ROLES WHEN ACCESSING NON-SECURITY FUNCTIONS."</f>
        <v>0</v>
      </c>
      <c r="B21" t="s">
        <v>780</v>
      </c>
      <c r="C21" t="s">
        <v>781</v>
      </c>
      <c r="D21" t="s">
        <v>652</v>
      </c>
      <c r="E21" t="s">
        <v>801</v>
      </c>
    </row>
    <row r="22" spans="1:5">
      <c r="A22">
        <f>"DOCUMENTATION-AC-USE SESSION LOCK WITH PATTERN-HIDING DISPLAYS TO PREVENT ACCESS AND VIEWING OF DATA AFTER A PERIOD OF INACTIVITY."</f>
        <v>0</v>
      </c>
      <c r="B22" t="s">
        <v>780</v>
      </c>
      <c r="C22" t="s">
        <v>781</v>
      </c>
      <c r="D22" t="s">
        <v>638</v>
      </c>
      <c r="E22" t="s">
        <v>802</v>
      </c>
    </row>
    <row r="23" spans="1:5">
      <c r="A23">
        <f>"DOCUMENTATION-AC-VERIFY AND CONTROL/LIMIT CONNECTIONS TO AND USE OF EXTERNAL INFORMATION SYSTEMS."</f>
        <v>0</v>
      </c>
      <c r="B23" t="s">
        <v>780</v>
      </c>
      <c r="C23" t="s">
        <v>781</v>
      </c>
      <c r="D23" t="s">
        <v>636</v>
      </c>
      <c r="E23" t="s">
        <v>803</v>
      </c>
    </row>
    <row r="24" spans="1:5">
      <c r="A24">
        <f>"DOCUMENTATION-AT-ENSURE THAT MANAGERS, SYSTEM ADMINISTRATORS, AND USERS OF ORGANIZATIONAL SYSTEMS ARE MADE AWARE OF THE SECURITY RISKS ASSOCIATED WITH THEIR ACTIVITIES AND OF THE APPLICABLE POLICIES, STANDARDS, AND PROCEDURES RELATED TO THE SECURITY "</f>
        <v>0</v>
      </c>
      <c r="B24" t="s">
        <v>804</v>
      </c>
      <c r="C24" t="s">
        <v>781</v>
      </c>
      <c r="D24" t="s">
        <v>665</v>
      </c>
      <c r="E24" t="s">
        <v>805</v>
      </c>
    </row>
    <row r="25" spans="1:5">
      <c r="A25">
        <f>"DOCUMENTATION-AT-ENSURE THAT PERSONNEL ARE TRAINED TO CARRY OUT THEIR ASSIGNED INFORMATION SECURITY-RELATED DUTIES AND RESPONSIBILITIES."</f>
        <v>0</v>
      </c>
      <c r="B25" t="s">
        <v>804</v>
      </c>
      <c r="C25" t="s">
        <v>781</v>
      </c>
      <c r="D25" t="s">
        <v>666</v>
      </c>
      <c r="E25" t="s">
        <v>806</v>
      </c>
    </row>
    <row r="26" spans="1:5">
      <c r="A26">
        <f>"DOCUMENTATION-AT-PROVIDE SECURITY AWARENESS TRAINING ON RECOGNIZING AND REPORTING POTENTIAL INDICATORS OF INSIDER THREAT."</f>
        <v>0</v>
      </c>
      <c r="B26" t="s">
        <v>804</v>
      </c>
      <c r="C26" t="s">
        <v>781</v>
      </c>
      <c r="D26" t="s">
        <v>667</v>
      </c>
      <c r="E26" t="s">
        <v>807</v>
      </c>
    </row>
    <row r="27" spans="1:5">
      <c r="A27">
        <f>"DOCUMENTATION-AU-ALERT IN THE EVENT OF AN AUDIT LOGGING PROCESS FAILURE."</f>
        <v>0</v>
      </c>
      <c r="B27" t="s">
        <v>808</v>
      </c>
      <c r="C27" t="s">
        <v>781</v>
      </c>
      <c r="D27" t="s">
        <v>659</v>
      </c>
      <c r="E27" t="s">
        <v>809</v>
      </c>
    </row>
    <row r="28" spans="1:5">
      <c r="A28">
        <f>"DOCUMENTATION-AU-CORRELATE AUDIT RECORD REVIEW, ANALYSIS, AND REPORTING PROCESSES FOR INVESTIGATION AND RESPONSE TO INDICATIONS OF UNLAWFUL, UNAUTHORIZED, SUSPICIOUS, OR UNUSUAL ACTIVITY."</f>
        <v>0</v>
      </c>
      <c r="B28" t="s">
        <v>808</v>
      </c>
      <c r="C28" t="s">
        <v>781</v>
      </c>
      <c r="D28" t="s">
        <v>660</v>
      </c>
      <c r="E28" t="s">
        <v>785</v>
      </c>
    </row>
    <row r="29" spans="1:5">
      <c r="A29">
        <f>"DOCUMENTATION-AU-CREATE AND RETAIN SYSTEM AUDIT LOGS AND RECORDS TO THE EXTENT NEEDED TO ENABLE THE MONITORING, ANALYSIS, INVESTIGATION, AND REPORTING OF UNLAWFUL OR UNAUTHORIZED SYSTEM ACTIVITY."</f>
        <v>0</v>
      </c>
      <c r="B29" t="s">
        <v>808</v>
      </c>
      <c r="C29" t="s">
        <v>781</v>
      </c>
      <c r="D29" t="s">
        <v>656</v>
      </c>
      <c r="E29" t="s">
        <v>790</v>
      </c>
    </row>
    <row r="30" spans="1:5">
      <c r="A30">
        <f>"DOCUMENTATION-AU-ENSURE THAT THE ACTIONS OF INDIVIDUAL SYSTEM USERS CAN BE UNIQUELY TRACED TO THOSE USERS SO THEY CAN BE HELD ACCOUNTABLE FOR THEIR ACTIONS. "</f>
        <v>0</v>
      </c>
      <c r="B30" t="s">
        <v>808</v>
      </c>
      <c r="C30" t="s">
        <v>781</v>
      </c>
      <c r="D30" t="s">
        <v>657</v>
      </c>
      <c r="E30" t="s">
        <v>791</v>
      </c>
    </row>
    <row r="31" spans="1:5">
      <c r="A31">
        <f>"DOCUMENTATION-AU-LIMIT MANAGEMENT OF AUDIT LOGGING FUNCTIONALITY TO A SUBSET OF PRIVILEGED USERS."</f>
        <v>0</v>
      </c>
      <c r="B31" t="s">
        <v>808</v>
      </c>
      <c r="C31" t="s">
        <v>781</v>
      </c>
      <c r="D31" t="s">
        <v>664</v>
      </c>
      <c r="E31" t="s">
        <v>810</v>
      </c>
    </row>
    <row r="32" spans="1:5">
      <c r="A32">
        <f>"DOCUMENTATION-AU-PROTECT AUDIT INFORMATION AND AUDIT LOGGING TOOLS FROM UNAUTHORIZED ACCESS, MODIFICATION, AND DELETION."</f>
        <v>0</v>
      </c>
      <c r="B32" t="s">
        <v>808</v>
      </c>
      <c r="C32" t="s">
        <v>781</v>
      </c>
      <c r="D32" t="s">
        <v>663</v>
      </c>
      <c r="E32" t="s">
        <v>811</v>
      </c>
    </row>
    <row r="33" spans="1:5">
      <c r="A33">
        <f>"DOCUMENTATION-AU-PROVIDE A SYSTEM CAPABILITY THAT COMPARES AND SYNCHRONIZES INTERNAL SYSTEM CLOCKS WITH AN AUTHORITATIVE SOURCE TO GENERATE TIME STAMPS FOR AUDIT RECORDS."</f>
        <v>0</v>
      </c>
      <c r="B33" t="s">
        <v>808</v>
      </c>
      <c r="C33" t="s">
        <v>781</v>
      </c>
      <c r="D33" t="s">
        <v>662</v>
      </c>
      <c r="E33" t="s">
        <v>800</v>
      </c>
    </row>
    <row r="34" spans="1:5">
      <c r="A34">
        <f>"DOCUMENTATION-AU-PROVIDE AUDIT RECORD REDUCTION AND REPORT GENERATION TO SUPPORT ON-DEMAND ANALYSIS AND REPORTING."</f>
        <v>0</v>
      </c>
      <c r="B34" t="s">
        <v>808</v>
      </c>
      <c r="C34" t="s">
        <v>781</v>
      </c>
      <c r="D34" t="s">
        <v>661</v>
      </c>
      <c r="E34" t="s">
        <v>812</v>
      </c>
    </row>
    <row r="35" spans="1:5">
      <c r="A35">
        <f>"DOCUMENTATION-AU-REVIEW AND UPDATE LOGGED EVENTS."</f>
        <v>0</v>
      </c>
      <c r="B35" t="s">
        <v>808</v>
      </c>
      <c r="C35" t="s">
        <v>781</v>
      </c>
      <c r="D35" t="s">
        <v>658</v>
      </c>
      <c r="E35" t="s">
        <v>813</v>
      </c>
    </row>
    <row r="36" spans="1:5">
      <c r="A36">
        <f>"DOCUMENTATION-CA-DEVELOP AND IMPLEMENT PLANS OF ACTION DESIGNED TO CORRECT DEFICIENCIES AND REDUCE OR ELIMINATE VULNERABILITIES IN ORGANIZATIONAL SYSTEMS."</f>
        <v>0</v>
      </c>
      <c r="B36" t="s">
        <v>814</v>
      </c>
      <c r="C36" t="s">
        <v>781</v>
      </c>
      <c r="D36" t="s">
        <v>718</v>
      </c>
      <c r="E36" t="s">
        <v>815</v>
      </c>
    </row>
    <row r="37" spans="1:5">
      <c r="A37">
        <f>"DOCUMENTATION-CA-DEVELOP, DOCUMENT, AND PERIODICALLY UPDATE SYSTEM SECURITY PLANS THAT DESCRIBE SYSTEM BOUNDARIES, SYSTEM ENVIRONMENTS OF OPERATION, HOW SECURITY REQUIREMENTS ARE IMPLEMENTED, AND THE RELATIONSHIPS WITH OR CONNECTIONS TO OTHER SYSTEMS"</f>
        <v>0</v>
      </c>
      <c r="B37" t="s">
        <v>814</v>
      </c>
      <c r="C37" t="s">
        <v>781</v>
      </c>
      <c r="D37" t="s">
        <v>720</v>
      </c>
      <c r="E37" t="s">
        <v>809</v>
      </c>
    </row>
    <row r="38" spans="1:5">
      <c r="A38">
        <f>"DOCUMENTATION-CA-MONITOR SECURITY CONTROLS ON AN ONGOING BASIS TO ENSURE THE CONTINUED EFFECTIVENESS OF THE CONTROLS."</f>
        <v>0</v>
      </c>
      <c r="B38" t="s">
        <v>814</v>
      </c>
      <c r="C38" t="s">
        <v>781</v>
      </c>
      <c r="D38" t="s">
        <v>719</v>
      </c>
      <c r="E38" t="s">
        <v>816</v>
      </c>
    </row>
    <row r="39" spans="1:5">
      <c r="A39">
        <f>"DOCUMENTATION-CA-PERIODICALLY ASSESS THE SECURITY CONTROLS IN ORGANIZATIONAL SYSTEMS TO DETERMINE IF THE CONTROLS ARE EFFECTIVE IN THEIR APPLICATION."</f>
        <v>0</v>
      </c>
      <c r="B39" t="s">
        <v>814</v>
      </c>
      <c r="C39" t="s">
        <v>781</v>
      </c>
      <c r="D39" t="s">
        <v>717</v>
      </c>
      <c r="E39" t="s">
        <v>817</v>
      </c>
    </row>
    <row r="40" spans="1:5">
      <c r="A40">
        <f>"DOCUMENTATION-CM-ANALYZE THE SECURITY IMPACT OF CHANGES PRIOR TO IMPLEMENTATION."</f>
        <v>0</v>
      </c>
      <c r="B40" t="s">
        <v>818</v>
      </c>
      <c r="C40" t="s">
        <v>781</v>
      </c>
      <c r="D40" t="s">
        <v>671</v>
      </c>
      <c r="E40" t="s">
        <v>819</v>
      </c>
    </row>
    <row r="41" spans="1:5">
      <c r="A41">
        <f>"DOCUMENTATION-CM-APPLY DENY-BY-EXCEPTION (BLACKLISTING) POLICY TO PREVENT THE USE OF UNAUTHORIZED SOFTWARE OR DENY-ALL, PERMIT-BY-EXCEPTION (WHITELISTING) POLICY TO ALLOW THE EXECUTION OF AUTHORIZED SOFTWARE."</f>
        <v>0</v>
      </c>
      <c r="B41" t="s">
        <v>818</v>
      </c>
      <c r="C41" t="s">
        <v>781</v>
      </c>
      <c r="D41" t="s">
        <v>675</v>
      </c>
      <c r="E41" t="s">
        <v>820</v>
      </c>
    </row>
    <row r="42" spans="1:5">
      <c r="A42">
        <f>"DOCUMENTATION-CM-CONTROL AND MONITOR USER-INSTALLED SOFTWARE."</f>
        <v>0</v>
      </c>
      <c r="B42" t="s">
        <v>818</v>
      </c>
      <c r="C42" t="s">
        <v>781</v>
      </c>
      <c r="D42" t="s">
        <v>676</v>
      </c>
      <c r="E42" t="s">
        <v>783</v>
      </c>
    </row>
    <row r="43" spans="1:5">
      <c r="A43">
        <f>"DOCUMENTATION-CM-DEFINE, DOCUMENT, APPROVE, AND ENFORCE PHYSICAL AND LOGICAL ACCESS RESTRICTIONS ASSOCIATED WITH CHANGES TO ORGANIZATIONAL SYSTEMS."</f>
        <v>0</v>
      </c>
      <c r="B43" t="s">
        <v>818</v>
      </c>
      <c r="C43" t="s">
        <v>781</v>
      </c>
      <c r="D43" t="s">
        <v>672</v>
      </c>
      <c r="E43" t="s">
        <v>812</v>
      </c>
    </row>
    <row r="44" spans="1:5">
      <c r="A44">
        <f>"DOCUMENTATION-CM-EMPLOY THE PRINCIPLE OF LEAST FUNCTIONALITY BY CONFIGURING ORGANIZATIONAL SYSTEMS TO PROVIDE ONLY ESSENTIAL CAPABILITIES."</f>
        <v>0</v>
      </c>
      <c r="B44" t="s">
        <v>818</v>
      </c>
      <c r="C44" t="s">
        <v>781</v>
      </c>
      <c r="D44" t="s">
        <v>673</v>
      </c>
      <c r="E44" t="s">
        <v>821</v>
      </c>
    </row>
    <row r="45" spans="1:5">
      <c r="A45">
        <f>"DOCUMENTATION-CM-ESTABLISH AND ENFORCE SECURITY CONFIGURATION SETTINGS FOR INFORMATION TECHNOLOGY PRODUCTS EMPLOYED IN ORGANIZATIONAL SYSTEMS."</f>
        <v>0</v>
      </c>
      <c r="B45" t="s">
        <v>818</v>
      </c>
      <c r="C45" t="s">
        <v>781</v>
      </c>
      <c r="D45" t="s">
        <v>669</v>
      </c>
      <c r="E45" t="s">
        <v>791</v>
      </c>
    </row>
    <row r="46" spans="1:5">
      <c r="A46">
        <f>"DOCUMENTATION-CM-ESTABLISH AND MAINTAIN BASELINE CONFIGURATIONS AND INVENTORIES OF ORGANIZATIONAL SYSTEMS (INCLUDING HARDWARE, SOFTWARE, FIRMWARE, AND DOCUMENTATION) THROUGHOUT THE RESPECTIVE SYSTEM DEVELOPMENT LIFE CYCLES."</f>
        <v>0</v>
      </c>
      <c r="B46" t="s">
        <v>818</v>
      </c>
      <c r="C46" t="s">
        <v>781</v>
      </c>
      <c r="D46" t="s">
        <v>668</v>
      </c>
      <c r="E46" t="s">
        <v>790</v>
      </c>
    </row>
    <row r="47" spans="1:5">
      <c r="A47">
        <f>"DOCUMENTATION-CM-RESTRICT, DISABLE, OR PREVENT THE USE OF NONESSENTIAL PROGRAMS, FUNCTIONS, PORTS, PROTOCOLS, AND SERVICES."</f>
        <v>0</v>
      </c>
      <c r="B47" t="s">
        <v>818</v>
      </c>
      <c r="C47" t="s">
        <v>781</v>
      </c>
      <c r="D47" t="s">
        <v>674</v>
      </c>
      <c r="E47" t="s">
        <v>798</v>
      </c>
    </row>
    <row r="48" spans="1:5">
      <c r="A48">
        <f>"DOCUMENTATION-CM-TRACK, REVIEW, APPROVE, OR DISAPPROVE, AND LOG CHANGES TO ORGANIZATIONAL SYSTEMS."</f>
        <v>0</v>
      </c>
      <c r="B48" t="s">
        <v>818</v>
      </c>
      <c r="C48" t="s">
        <v>781</v>
      </c>
      <c r="D48" t="s">
        <v>670</v>
      </c>
      <c r="E48" t="s">
        <v>822</v>
      </c>
    </row>
    <row r="49" spans="1:5">
      <c r="A49">
        <f>"DOCUMENTATION-IA-ALLOW TEMPORARY PASSWORD USE FOR SYSTEM LOGONS WITH AN IMMEDIATE CHANGE TO A PERMANENT PASSWORD."</f>
        <v>0</v>
      </c>
      <c r="B49" t="s">
        <v>823</v>
      </c>
      <c r="C49" t="s">
        <v>781</v>
      </c>
      <c r="D49" t="s">
        <v>687</v>
      </c>
      <c r="E49" t="s">
        <v>824</v>
      </c>
    </row>
    <row r="50" spans="1:5">
      <c r="A50">
        <f>"DOCUMENTATION-IA-AUTHENTICATE (OR VERIFY) THE IDENTITIES OF THOSE USERS, PROCESSES, OR DEVICES AS A PREREQUISITE TO ALLOWING ACCESS TO ORGANIZATIONAL INFORMATION SYSTEMS."</f>
        <v>0</v>
      </c>
      <c r="B50" t="s">
        <v>823</v>
      </c>
      <c r="C50" t="s">
        <v>781</v>
      </c>
      <c r="D50" t="s">
        <v>678</v>
      </c>
      <c r="E50" t="s">
        <v>825</v>
      </c>
    </row>
    <row r="51" spans="1:5">
      <c r="A51">
        <f>"DOCUMENTATION-IA-DISABLE IDENTIFIERS AFTER A DEFINED PERIOD OF INACTIVITY."</f>
        <v>0</v>
      </c>
      <c r="B51" t="s">
        <v>823</v>
      </c>
      <c r="C51" t="s">
        <v>781</v>
      </c>
      <c r="D51" t="s">
        <v>684</v>
      </c>
      <c r="E51" t="s">
        <v>800</v>
      </c>
    </row>
    <row r="52" spans="1:5">
      <c r="A52">
        <f>"DOCUMENTATION-IA-EMPLOY REPLAY-RESISTANT AUTHENTICATION MECHANISMS FOR NETWORK ACCESS TO PRIVILEGED AND NON-PRIVILEGED ACCOUNTS."</f>
        <v>0</v>
      </c>
      <c r="B52" t="s">
        <v>823</v>
      </c>
      <c r="C52" t="s">
        <v>781</v>
      </c>
      <c r="D52" t="s">
        <v>682</v>
      </c>
      <c r="E52" t="s">
        <v>826</v>
      </c>
    </row>
    <row r="53" spans="1:5">
      <c r="A53">
        <f>"DOCUMENTATION-IA-ENFORCE A MINIMUM PASSWORD COMPLEXITY AND CHANGE OF CHARACTERS WHEN NEW PASSWORDS ARE CREATED."</f>
        <v>0</v>
      </c>
      <c r="B53" t="s">
        <v>823</v>
      </c>
      <c r="C53" t="s">
        <v>781</v>
      </c>
      <c r="D53" t="s">
        <v>685</v>
      </c>
      <c r="E53" t="s">
        <v>794</v>
      </c>
    </row>
    <row r="54" spans="1:5">
      <c r="A54">
        <f>"DOCUMENTATION-IA-IDENTIFY INFORMATION SYSTEM USERS, PROCESSES ACTING ON BEHALF OF USERS, OR DEVICES."</f>
        <v>0</v>
      </c>
      <c r="B54" t="s">
        <v>823</v>
      </c>
      <c r="C54" t="s">
        <v>781</v>
      </c>
      <c r="D54" t="s">
        <v>677</v>
      </c>
      <c r="E54" t="s">
        <v>827</v>
      </c>
    </row>
    <row r="55" spans="1:5">
      <c r="A55">
        <f>"DOCUMENTATION-IA-OBSCURE FEEDBACK OF AUTHENTICATION INFORMATION."</f>
        <v>0</v>
      </c>
      <c r="B55" t="s">
        <v>823</v>
      </c>
      <c r="C55" t="s">
        <v>781</v>
      </c>
      <c r="D55" t="s">
        <v>680</v>
      </c>
      <c r="E55" t="s">
        <v>822</v>
      </c>
    </row>
    <row r="56" spans="1:5">
      <c r="A56">
        <f>"DOCUMENTATION-IA-PREVENT THE REUSE OF IDENTIFIERS FOR A DEFINED PERIOD."</f>
        <v>0</v>
      </c>
      <c r="B56" t="s">
        <v>823</v>
      </c>
      <c r="C56" t="s">
        <v>781</v>
      </c>
      <c r="D56" t="s">
        <v>683</v>
      </c>
      <c r="E56" t="s">
        <v>802</v>
      </c>
    </row>
    <row r="57" spans="1:5">
      <c r="A57">
        <f>"DOCUMENTATION-IA-PROHIBIT PASSWORD REUSE FOR A SPECIFIED NUMBER OF GENERATIONS."</f>
        <v>0</v>
      </c>
      <c r="B57" t="s">
        <v>823</v>
      </c>
      <c r="C57" t="s">
        <v>781</v>
      </c>
      <c r="D57" t="s">
        <v>686</v>
      </c>
      <c r="E57" t="s">
        <v>787</v>
      </c>
    </row>
    <row r="58" spans="1:5">
      <c r="A58">
        <f>"DOCUMENTATION-IA-STORE AND TRANSMIT ONLY CRYPTOGRAPHICALLY-PROTECTED PASSWORDS."</f>
        <v>0</v>
      </c>
      <c r="B58" t="s">
        <v>823</v>
      </c>
      <c r="C58" t="s">
        <v>781</v>
      </c>
      <c r="D58" t="s">
        <v>679</v>
      </c>
      <c r="E58" t="s">
        <v>828</v>
      </c>
    </row>
    <row r="59" spans="1:5">
      <c r="A59">
        <f>"DOCUMENTATION-IA-USE MULTI-FACTOR AUTHENTICATION FOR LOCAL AND NETWORK ACCESS TO PRIVILEGED ACCOUNTS AND FOR NETWORK ACCESS TO NON-PRIVILEGED ACCOUNTS."</f>
        <v>0</v>
      </c>
      <c r="B59" t="s">
        <v>823</v>
      </c>
      <c r="C59" t="s">
        <v>781</v>
      </c>
      <c r="D59" t="s">
        <v>681</v>
      </c>
      <c r="E59" t="s">
        <v>829</v>
      </c>
    </row>
    <row r="60" spans="1:5">
      <c r="A60">
        <f>"DOCUMENTATION-IR-ESTABLISH AN OPERATIONAL INCIDENT-HANDLING CAPABILITY FOR ORGANIZATIONAL SYSTEMS THAT INCLUDES PREPARATION, DETECTION, ANALYSIS, CONTAINMENT, RECOVERY, AND USER RESPONSE ACTIVITIES."</f>
        <v>0</v>
      </c>
      <c r="B60" t="s">
        <v>830</v>
      </c>
      <c r="C60" t="s">
        <v>781</v>
      </c>
      <c r="D60" t="s">
        <v>688</v>
      </c>
      <c r="E60" t="s">
        <v>831</v>
      </c>
    </row>
    <row r="61" spans="1:5">
      <c r="A61">
        <f>"DOCUMENTATION-IR-TEST THE ORGANIZATIONAL INCIDENT RESPONSE CAPABILITY."</f>
        <v>0</v>
      </c>
      <c r="B61" t="s">
        <v>830</v>
      </c>
      <c r="C61" t="s">
        <v>781</v>
      </c>
      <c r="D61" t="s">
        <v>690</v>
      </c>
      <c r="E61" t="s">
        <v>803</v>
      </c>
    </row>
    <row r="62" spans="1:5">
      <c r="A62">
        <f>"DOCUMENTATION-IR-TRACK, DOCUMENT, AND REPORT INCIDENTS TO DESIGNATED OFFICIALS AND/OR AUTHORITIES BOTH INTERNAL AND EXTERNAL TO THE ORGANIZATION."</f>
        <v>0</v>
      </c>
      <c r="B62" t="s">
        <v>830</v>
      </c>
      <c r="C62" t="s">
        <v>781</v>
      </c>
      <c r="D62" t="s">
        <v>689</v>
      </c>
      <c r="E62" t="s">
        <v>832</v>
      </c>
    </row>
    <row r="63" spans="1:5">
      <c r="A63">
        <f>"DOCUMENTATION-MA-CHECK MEDIA CONTAINING DIAGNOSTIC AND TEST PROGRAMS FOR MALICIOUS CODE BEFORE THE MEDIA ARE USED IN ORGANIZATIONAL SYSTEMS."</f>
        <v>0</v>
      </c>
      <c r="B63" t="s">
        <v>833</v>
      </c>
      <c r="C63" t="s">
        <v>781</v>
      </c>
      <c r="D63" t="s">
        <v>694</v>
      </c>
      <c r="E63" t="s">
        <v>832</v>
      </c>
    </row>
    <row r="64" spans="1:5">
      <c r="A64">
        <f>"DOCUMENTATION-MA-ENSURE EQUIPMENT REMOVED FOR OFF-SITE MAINTENANCE IS SANITIZED OF ANY CUI."</f>
        <v>0</v>
      </c>
      <c r="B64" t="s">
        <v>833</v>
      </c>
      <c r="C64" t="s">
        <v>781</v>
      </c>
      <c r="D64" t="s">
        <v>693</v>
      </c>
      <c r="E64" t="s">
        <v>816</v>
      </c>
    </row>
    <row r="65" spans="1:5">
      <c r="A65">
        <f>"DOCUMENTATION-MA-PERFORM MAINTENANCE ON ORGANIZATIONAL SYSTEMS."</f>
        <v>0</v>
      </c>
      <c r="B65" t="s">
        <v>833</v>
      </c>
      <c r="C65" t="s">
        <v>781</v>
      </c>
      <c r="D65" t="s">
        <v>691</v>
      </c>
      <c r="E65" t="s">
        <v>834</v>
      </c>
    </row>
    <row r="66" spans="1:5">
      <c r="A66">
        <f>"DOCUMENTATION-MA-PROVIDE CONTROLS ON THE TOOLS, TECHNIQUES, MECHANISMS, AND PERSONNEL USED TO CONDUCT SYSTEM MAINTENANCE."</f>
        <v>0</v>
      </c>
      <c r="B66" t="s">
        <v>833</v>
      </c>
      <c r="C66" t="s">
        <v>781</v>
      </c>
      <c r="D66" t="s">
        <v>692</v>
      </c>
      <c r="E66" t="s">
        <v>815</v>
      </c>
    </row>
    <row r="67" spans="1:5">
      <c r="A67">
        <f>"DOCUMENTATION-MA-REQUIRE MULTI-FACTOR AUTHENTICATION TO ESTABLISH NON-LOCAL MAINTENANCE SESSIONS VIA EXTERNAL NETWORK CONNECTIONS AND TERMINATE SUCH CONNECTIONS WHEN NONLOCAL MAINTENANCE IS COMPLETE."</f>
        <v>0</v>
      </c>
      <c r="B67" t="s">
        <v>833</v>
      </c>
      <c r="C67" t="s">
        <v>781</v>
      </c>
      <c r="D67" t="s">
        <v>695</v>
      </c>
      <c r="E67" t="s">
        <v>835</v>
      </c>
    </row>
    <row r="68" spans="1:5">
      <c r="A68">
        <f>"DOCUMENTATION-MA-SUPERVISE THE MAINTENANCE ACTIVITIES OF PERSONNEL WITHOUT REQUIRED ACCESS AUTHORIZATION."</f>
        <v>0</v>
      </c>
      <c r="B68" t="s">
        <v>833</v>
      </c>
      <c r="C68" t="s">
        <v>781</v>
      </c>
      <c r="D68" t="s">
        <v>696</v>
      </c>
      <c r="E68" t="s">
        <v>829</v>
      </c>
    </row>
    <row r="69" spans="1:5">
      <c r="A69">
        <f>"DOCUMENTATION-MP-CONTROL ACCESS TO MEDIA CONTAINING CUI AND MAINTAIN ACCOUNTABILITY FOR MEDIA DURING TRANSPORT OUTSIDE OF CONTROLLED AREAS."</f>
        <v>0</v>
      </c>
      <c r="B69" t="s">
        <v>836</v>
      </c>
      <c r="C69" t="s">
        <v>781</v>
      </c>
      <c r="D69" t="s">
        <v>701</v>
      </c>
      <c r="E69" t="s">
        <v>809</v>
      </c>
    </row>
    <row r="70" spans="1:5">
      <c r="A70">
        <f>"DOCUMENTATION-MP-CONTROL THE USE OF REMOVABLE MEDIA ON SYSTEM COMPONENTS."</f>
        <v>0</v>
      </c>
      <c r="B70" t="s">
        <v>836</v>
      </c>
      <c r="C70" t="s">
        <v>781</v>
      </c>
      <c r="D70" t="s">
        <v>703</v>
      </c>
      <c r="E70" t="s">
        <v>837</v>
      </c>
    </row>
    <row r="71" spans="1:5">
      <c r="A71">
        <f>"DOCUMENTATION-MP-IMPLEMENT CRYPTOGRAPHIC MECHANISMS TO PROTECT THE CONFIDENTIALITY OF CUI STORED ON DIGITAL MEDIA DURING TRANSPORT UNLESS OTHERWISE PROTECTED BY ALTERNATIVE PHYSICAL SAFEGUARDS."</f>
        <v>0</v>
      </c>
      <c r="B71" t="s">
        <v>836</v>
      </c>
      <c r="C71" t="s">
        <v>781</v>
      </c>
      <c r="D71" t="s">
        <v>702</v>
      </c>
      <c r="E71" t="s">
        <v>838</v>
      </c>
    </row>
    <row r="72" spans="1:5">
      <c r="A72">
        <f>"DOCUMENTATION-MP-LIMIT ACCESS TO CUI ON SYSTEM MEDIA TO AUTHORIZED USERS."</f>
        <v>0</v>
      </c>
      <c r="B72" t="s">
        <v>836</v>
      </c>
      <c r="C72" t="s">
        <v>781</v>
      </c>
      <c r="D72" t="s">
        <v>699</v>
      </c>
      <c r="E72" t="s">
        <v>839</v>
      </c>
    </row>
    <row r="73" spans="1:5">
      <c r="A73">
        <f>"DOCUMENTATION-MP-MARK MEDIA WITH NECESSARY CUI MARKINGS AND DISTRIBUTION LIMITATIONS."</f>
        <v>0</v>
      </c>
      <c r="B73" t="s">
        <v>836</v>
      </c>
      <c r="C73" t="s">
        <v>781</v>
      </c>
      <c r="D73" t="s">
        <v>700</v>
      </c>
      <c r="E73" t="s">
        <v>822</v>
      </c>
    </row>
    <row r="74" spans="1:5">
      <c r="A74">
        <f>"DOCUMENTATION-MP-PROHIBIT THE USE OF PORTABLE STORAGE DEVICES WHEN SUCH DEVICES HAVE NO IDENTIFIABLE OWNER."</f>
        <v>0</v>
      </c>
      <c r="B74" t="s">
        <v>836</v>
      </c>
      <c r="C74" t="s">
        <v>781</v>
      </c>
      <c r="D74" t="s">
        <v>704</v>
      </c>
      <c r="E74" t="s">
        <v>840</v>
      </c>
    </row>
    <row r="75" spans="1:5">
      <c r="A75">
        <f>"DOCUMENTATION-MP-PROTECT (I.E., PHYSICALLY CONTROL AND SECURELY STORE) SYSTEM MEDIA CONTAINING CUI, BOTH PAPER AND DIGITAL."</f>
        <v>0</v>
      </c>
      <c r="B75" t="s">
        <v>836</v>
      </c>
      <c r="C75" t="s">
        <v>781</v>
      </c>
      <c r="D75" t="s">
        <v>698</v>
      </c>
      <c r="E75" t="s">
        <v>825</v>
      </c>
    </row>
    <row r="76" spans="1:5">
      <c r="A76">
        <f>"DOCUMENTATION-MP-PROTECT THE CONFIDENTIALITY OF BACKUP CUI AT STORAGE LOCATIONS."</f>
        <v>0</v>
      </c>
      <c r="B76" t="s">
        <v>836</v>
      </c>
      <c r="C76" t="s">
        <v>781</v>
      </c>
      <c r="D76" t="s">
        <v>705</v>
      </c>
      <c r="E76" t="s">
        <v>800</v>
      </c>
    </row>
    <row r="77" spans="1:5">
      <c r="A77">
        <f>"DOCUMENTATION-MP-SANITIZE OR DESTROY INFORMATION SYSTEM MEDIA CONTAINING FEDERAL CONTRACT INFORMATION BEFORE DISPOSAL OR RELEASE FOR REUSE."</f>
        <v>0</v>
      </c>
      <c r="B77" t="s">
        <v>836</v>
      </c>
      <c r="C77" t="s">
        <v>781</v>
      </c>
      <c r="D77" t="s">
        <v>697</v>
      </c>
      <c r="E77" t="s">
        <v>817</v>
      </c>
    </row>
    <row r="78" spans="1:5">
      <c r="A78">
        <f>"DOCUMENTATION-PE- PROTECT AND MONITOR THE PHYSICAL FACILITY AND SUPPORT INFRASTRUCTURE FOR ORGANIZATIONAL SYSTEMS."</f>
        <v>0</v>
      </c>
      <c r="B78" t="s">
        <v>841</v>
      </c>
      <c r="C78" t="s">
        <v>781</v>
      </c>
      <c r="D78" t="s">
        <v>712</v>
      </c>
      <c r="E78" t="s">
        <v>842</v>
      </c>
    </row>
    <row r="79" spans="1:5">
      <c r="A79">
        <f>"DOCUMENTATION-PE-CONTROL AND MANAGE PHYSICAL ACCESS DEVICES."</f>
        <v>0</v>
      </c>
      <c r="B79" t="s">
        <v>841</v>
      </c>
      <c r="C79" t="s">
        <v>781</v>
      </c>
      <c r="D79" t="s">
        <v>711</v>
      </c>
      <c r="E79" t="s">
        <v>843</v>
      </c>
    </row>
    <row r="80" spans="1:5">
      <c r="A80">
        <f>"DOCUMENTATION-PE-ENFORCE SAFEGUARDING MEASURES FOR CUI AT ALTERNATE WORK SITES."</f>
        <v>0</v>
      </c>
      <c r="B80" t="s">
        <v>841</v>
      </c>
      <c r="C80" t="s">
        <v>781</v>
      </c>
      <c r="D80" t="s">
        <v>713</v>
      </c>
      <c r="E80" t="s">
        <v>837</v>
      </c>
    </row>
    <row r="81" spans="1:5">
      <c r="A81">
        <f>"DOCUMENTATION-PE-ESCORT VISITORS AND MONITOR VISITOR ACTIVITY."</f>
        <v>0</v>
      </c>
      <c r="B81" t="s">
        <v>841</v>
      </c>
      <c r="C81" t="s">
        <v>781</v>
      </c>
      <c r="D81" t="s">
        <v>709</v>
      </c>
      <c r="E81" t="s">
        <v>825</v>
      </c>
    </row>
    <row r="82" spans="1:5">
      <c r="A82">
        <f>"DOCUMENTATION-PE-LIMIT PHYSICAL ACCESS TO ORGANIZATIONAL INFORMATION SYSTEMS, EQUIPMENT, AND THE RESPECTIVE OPERATING ENVIRONMENTS TO AUTHORIZED INDIVIDUALS."</f>
        <v>0</v>
      </c>
      <c r="B82" t="s">
        <v>841</v>
      </c>
      <c r="C82" t="s">
        <v>781</v>
      </c>
      <c r="D82" t="s">
        <v>708</v>
      </c>
      <c r="E82" t="s">
        <v>805</v>
      </c>
    </row>
    <row r="83" spans="1:5">
      <c r="A83">
        <f>"DOCUMENTATION-PE-MAINTAIN AUDIT LOGS OF PHYSICAL ACCESS."</f>
        <v>0</v>
      </c>
      <c r="B83" t="s">
        <v>841</v>
      </c>
      <c r="C83" t="s">
        <v>781</v>
      </c>
      <c r="D83" t="s">
        <v>710</v>
      </c>
      <c r="E83" t="s">
        <v>839</v>
      </c>
    </row>
    <row r="84" spans="1:5">
      <c r="A84">
        <f>"DOCUMENTATION-PS-ENSURE THAT ORGANIZATIONAL SYSTEMS CONTAINING CUI ARE PROTECTED DURING AND AFTER PERSONNEL ACTIONS SUCH AS TERMINATIONS AND TRANSFERS."</f>
        <v>0</v>
      </c>
      <c r="B84" t="s">
        <v>844</v>
      </c>
      <c r="C84" t="s">
        <v>781</v>
      </c>
      <c r="D84" t="s">
        <v>707</v>
      </c>
      <c r="E84" t="s">
        <v>831</v>
      </c>
    </row>
    <row r="85" spans="1:5">
      <c r="A85">
        <f>"DOCUMENTATION-PS-SCREEN INDIVIDUALS PRIOR TO AUTHORIZING ACCESS TO ORGANIZATIONAL SYSTEMS CONTAINING CUI."</f>
        <v>0</v>
      </c>
      <c r="B85" t="s">
        <v>844</v>
      </c>
      <c r="C85" t="s">
        <v>781</v>
      </c>
      <c r="D85" t="s">
        <v>706</v>
      </c>
      <c r="E85" t="s">
        <v>834</v>
      </c>
    </row>
    <row r="86" spans="1:5">
      <c r="A86">
        <f>"DOCUMENTATION-RA-PERIODICALLY ASSESS THE RISK TO ORGANIZATIONAL OPERATIONS (INCLUDING MISSION, FUNCTIONS, IMAGE, OR REPUTATION), ORGANIZATIONAL ASSETS, AND INDIVIDUALS, RESULTING FROM THE OPERATION OF ORGANIZATIONAL SYSTEMS AND THE ASSOCIATED PROCESS"</f>
        <v>0</v>
      </c>
      <c r="B86" t="s">
        <v>845</v>
      </c>
      <c r="C86" t="s">
        <v>781</v>
      </c>
      <c r="D86" t="s">
        <v>714</v>
      </c>
      <c r="E86" t="s">
        <v>817</v>
      </c>
    </row>
    <row r="87" spans="1:5">
      <c r="A87">
        <f>"DOCUMENTATION-RA-REMEDIATE VULNERABILITIES IN ACCORDANCE WITH RISK ASSESSMENTS."</f>
        <v>0</v>
      </c>
      <c r="B87" t="s">
        <v>845</v>
      </c>
      <c r="C87" t="s">
        <v>781</v>
      </c>
      <c r="D87" t="s">
        <v>716</v>
      </c>
      <c r="E87" t="s">
        <v>807</v>
      </c>
    </row>
    <row r="88" spans="1:5">
      <c r="A88">
        <f>"DOCUMENTATION-RA-SCAN FOR VULNERABILITIES IN ORGANIZATIONAL SYSTEMS AND APPLICATIONS PERIODICALLY AND WHEN NEW VULNERABILITIES AFFECTING THOSE SYSTEMS AND APPLICATIONS ARE IDENTIFIED."</f>
        <v>0</v>
      </c>
      <c r="B88" t="s">
        <v>845</v>
      </c>
      <c r="C88" t="s">
        <v>781</v>
      </c>
      <c r="D88" t="s">
        <v>715</v>
      </c>
      <c r="E88" t="s">
        <v>806</v>
      </c>
    </row>
    <row r="89" spans="1:5">
      <c r="A89">
        <f>"DOCUMENTATION-SC-CONTROL AND MONITOR THE USE OF MOBILE CODE."</f>
        <v>0</v>
      </c>
      <c r="B89" t="s">
        <v>846</v>
      </c>
      <c r="C89" t="s">
        <v>781</v>
      </c>
      <c r="D89" t="s">
        <v>733</v>
      </c>
      <c r="E89" t="s">
        <v>812</v>
      </c>
    </row>
    <row r="90" spans="1:5">
      <c r="A90">
        <f>"DOCUMENTATION-SC-CONTROL AND MONITOR THE USE OF VOICE OVER INTERNET PROTOCOL (VOIP) TECHNOLOGIES."</f>
        <v>0</v>
      </c>
      <c r="B90" t="s">
        <v>846</v>
      </c>
      <c r="C90" t="s">
        <v>781</v>
      </c>
      <c r="D90" t="s">
        <v>734</v>
      </c>
      <c r="E90" t="s">
        <v>821</v>
      </c>
    </row>
    <row r="91" spans="1:5">
      <c r="A91">
        <f>"DOCUMENTATION-SC-DENY NETWORK COMMUNICATIONS TRAFFIC BY DEFAULT AND ALLOW NETWORK COMMUNICATIONS TRAFFIC BY EXCEPTION (I.E., DENY ALL, PERMIT BY EXCEPTION)."</f>
        <v>0</v>
      </c>
      <c r="B91" t="s">
        <v>846</v>
      </c>
      <c r="C91" t="s">
        <v>781</v>
      </c>
      <c r="D91" t="s">
        <v>740</v>
      </c>
      <c r="E91" t="s">
        <v>847</v>
      </c>
    </row>
    <row r="92" spans="1:5">
      <c r="A92">
        <f>"DOCUMENTATION-SC-EMPLOY ARCHITECTURAL DESIGNS, SOFTWARE DEVELOPMENT TECHNIQUES, AND SYSTEMS ENGINEERING PRINCIPLES THAT PROMOTE EFFECTIVE INFORMATION SECURITY WITHIN ORGANIZATIONAL SYSTEMS."</f>
        <v>0</v>
      </c>
      <c r="B92" t="s">
        <v>846</v>
      </c>
      <c r="C92" t="s">
        <v>781</v>
      </c>
      <c r="D92" t="s">
        <v>737</v>
      </c>
      <c r="E92" t="s">
        <v>824</v>
      </c>
    </row>
    <row r="93" spans="1:5">
      <c r="A93">
        <f>"DOCUMENTATION-SC-EMPLOY FIPS-VALIDATED CRYPTOGRAPHY WHEN USED TO PROTECT THE CONFIDENTIALITY OF CUI."</f>
        <v>0</v>
      </c>
      <c r="B93" t="s">
        <v>846</v>
      </c>
      <c r="C93" t="s">
        <v>781</v>
      </c>
      <c r="D93" t="s">
        <v>731</v>
      </c>
      <c r="E93" t="s">
        <v>819</v>
      </c>
    </row>
    <row r="94" spans="1:5">
      <c r="A94">
        <f>"DOCUMENTATION-SC-ESTABLISH AND MANAGE CRYPTOGRAPHIC KEYS FOR CRYPTOGRAPHY EMPLOYED IN ORGANIZATIONAL SYSTEMS."</f>
        <v>0</v>
      </c>
      <c r="B94" t="s">
        <v>846</v>
      </c>
      <c r="C94" t="s">
        <v>781</v>
      </c>
      <c r="D94" t="s">
        <v>730</v>
      </c>
      <c r="E94" t="s">
        <v>822</v>
      </c>
    </row>
    <row r="95" spans="1:5">
      <c r="A95">
        <f>"DOCUMENTATION-SC-IMPLEMENT CRYPTOGRAPHIC MECHANISMS TO PREVENT UNAUTHORIZED DISCLOSURE OF CUI DURING TRANSMISSION UNLESS OTHERWISE PROTECTED BY ALTERNATIVE PHYSICAL SAFEGUARDS."</f>
        <v>0</v>
      </c>
      <c r="B95" t="s">
        <v>846</v>
      </c>
      <c r="C95" t="s">
        <v>781</v>
      </c>
      <c r="D95" t="s">
        <v>742</v>
      </c>
      <c r="E95" t="s">
        <v>848</v>
      </c>
    </row>
    <row r="96" spans="1:5">
      <c r="A96">
        <f>"DOCUMENTATION-SC-IMPLEMENT SUBNETWORKS FOR PUBLICLY ACCESSIBLE SYSTEMS COMPONENTS THAT ARE PHYSICALLY OR LOGICALLY SEPARATED FROM INTERNAL NETWORKS."</f>
        <v>0</v>
      </c>
      <c r="B96" t="s">
        <v>846</v>
      </c>
      <c r="C96" t="s">
        <v>781</v>
      </c>
      <c r="D96" t="s">
        <v>729</v>
      </c>
      <c r="E96" t="s">
        <v>839</v>
      </c>
    </row>
    <row r="97" spans="1:5">
      <c r="A97">
        <f>"DOCUMENTATION-SC-MONITOR, CONTROL, AND PROTECT ORGANIZATIONAL COMMUNICATIONS (I.E., INFORMATION TRANSMITTED OR RECEIVED BY ORGANIZATIONAL INFORMATION SYSTEMS) AT THE EXTERNAL BOUNDARIES AND KEY INTERNAL BOUNDARIES OF THE INFORMATION SYSTEMS."</f>
        <v>0</v>
      </c>
      <c r="B97" t="s">
        <v>846</v>
      </c>
      <c r="C97" t="s">
        <v>781</v>
      </c>
      <c r="D97" t="s">
        <v>728</v>
      </c>
      <c r="E97" t="s">
        <v>815</v>
      </c>
    </row>
    <row r="98" spans="1:5">
      <c r="A98">
        <f>"DOCUMENTATION-SC-PREVENT REMOTE DEVICES FROM SIMULTANEOUSLY ESTABLISHING NON-REMOTE CONNECTIONS WITH ORGANIZATIONAL SYSTEMS AND COMMUNICATING VIA SOME OTHER CONNECTION TO RESOURCES IN EXTERNAL NETWORKS (I.E., SPLIT TUNNELING)."</f>
        <v>0</v>
      </c>
      <c r="B98" t="s">
        <v>846</v>
      </c>
      <c r="C98" t="s">
        <v>781</v>
      </c>
      <c r="D98" t="s">
        <v>741</v>
      </c>
      <c r="E98" t="s">
        <v>849</v>
      </c>
    </row>
    <row r="99" spans="1:5">
      <c r="A99">
        <f>"DOCUMENTATION-SC-PREVENT UNAUTHORIZED AND UNINTENDED INFORMATION TRANSFER VIA SHARED SYSTEM RESOURCES."</f>
        <v>0</v>
      </c>
      <c r="B99" t="s">
        <v>846</v>
      </c>
      <c r="C99" t="s">
        <v>781</v>
      </c>
      <c r="D99" t="s">
        <v>739</v>
      </c>
      <c r="E99" t="s">
        <v>850</v>
      </c>
    </row>
    <row r="100" spans="1:5">
      <c r="A100">
        <f>"DOCUMENTATION-SC-PROHIBIT REMOTE ACTIVATION OF COLLABORATIVE COMPUTING DEVICES AND PROVIDE INDICATION OF DEVICES IN USE TO USERS PRESENT AT THE DEVICE."</f>
        <v>0</v>
      </c>
      <c r="B100" t="s">
        <v>846</v>
      </c>
      <c r="C100" t="s">
        <v>781</v>
      </c>
      <c r="D100" t="s">
        <v>732</v>
      </c>
      <c r="E100" t="s">
        <v>785</v>
      </c>
    </row>
    <row r="101" spans="1:5">
      <c r="A101">
        <f>"DOCUMENTATION-SC-PROTECT THE AUTHENTICITY OF COMMUNICATIONS SESSIONS."</f>
        <v>0</v>
      </c>
      <c r="B101" t="s">
        <v>846</v>
      </c>
      <c r="C101" t="s">
        <v>781</v>
      </c>
      <c r="D101" t="s">
        <v>735</v>
      </c>
      <c r="E101" t="s">
        <v>851</v>
      </c>
    </row>
    <row r="102" spans="1:5">
      <c r="A102">
        <f>"DOCUMENTATION-SC-PROTECT THE CONFIDENTIALITY OF CUI AT REST."</f>
        <v>0</v>
      </c>
      <c r="B102" t="s">
        <v>846</v>
      </c>
      <c r="C102" t="s">
        <v>781</v>
      </c>
      <c r="D102" t="s">
        <v>736</v>
      </c>
      <c r="E102" t="s">
        <v>794</v>
      </c>
    </row>
    <row r="103" spans="1:5">
      <c r="A103">
        <f>"DOCUMENTATION-SC-SEPARATE USER FUNCTIONALITY FROM SYSTEM MANAGEMENT FUNCTIONALITY."</f>
        <v>0</v>
      </c>
      <c r="B103" t="s">
        <v>846</v>
      </c>
      <c r="C103" t="s">
        <v>781</v>
      </c>
      <c r="D103" t="s">
        <v>738</v>
      </c>
      <c r="E103" t="s">
        <v>852</v>
      </c>
    </row>
    <row r="104" spans="1:5">
      <c r="A104">
        <f>"DOCUMENTATION-SC-TERMINATE NETWORK CONNECTIONS ASSOCIATED WITH COMMUNICATIONS SESSIONS AT THE END OF THE SESSIONS OR AFTER A DEFINED PERIOD OF INACTIVITY."</f>
        <v>0</v>
      </c>
      <c r="B104" t="s">
        <v>846</v>
      </c>
      <c r="C104" t="s">
        <v>781</v>
      </c>
      <c r="D104" t="s">
        <v>743</v>
      </c>
      <c r="E104" t="s">
        <v>853</v>
      </c>
    </row>
    <row r="105" spans="1:5">
      <c r="A105">
        <f>"DOCUMENTATION-SI-IDENTIFY UNAUTHORIZED USE OF ORGANIZATIONAL SYSTEMS."</f>
        <v>0</v>
      </c>
      <c r="B105" t="s">
        <v>854</v>
      </c>
      <c r="C105" t="s">
        <v>781</v>
      </c>
      <c r="D105" t="s">
        <v>727</v>
      </c>
      <c r="E105" t="s">
        <v>821</v>
      </c>
    </row>
    <row r="106" spans="1:5">
      <c r="A106">
        <f>"DOCUMENTATION-SI-IDENTIFY, REPORT, AND CORRECT INFORMATION AND INFORMATION SYSTEM FLAWS IN A TIMELY MANNER."</f>
        <v>0</v>
      </c>
      <c r="B106" t="s">
        <v>854</v>
      </c>
      <c r="C106" t="s">
        <v>781</v>
      </c>
      <c r="D106" t="s">
        <v>721</v>
      </c>
      <c r="E106" t="s">
        <v>790</v>
      </c>
    </row>
    <row r="107" spans="1:5">
      <c r="A107">
        <f>"DOCUMENTATION-SI-MONITOR ORGANIZATIONAL SYSTEMS, INCLUDING INBOUND AND OUTBOUND COMMUNICATIONS TRAFFIC, TO DETECT ATTACKS AND INDICATORS OF POTENTIAL ATTACKS."</f>
        <v>0</v>
      </c>
      <c r="B107" t="s">
        <v>854</v>
      </c>
      <c r="C107" t="s">
        <v>781</v>
      </c>
      <c r="D107" t="s">
        <v>726</v>
      </c>
      <c r="E107" t="s">
        <v>812</v>
      </c>
    </row>
    <row r="108" spans="1:5">
      <c r="A108">
        <f>"DOCUMENTATION-SI-MONITOR SYSTEM SECURITY ALERTS AND ADVISORIES AND TAKE ACTION IN RESPONSE."</f>
        <v>0</v>
      </c>
      <c r="B108" t="s">
        <v>854</v>
      </c>
      <c r="C108" t="s">
        <v>781</v>
      </c>
      <c r="D108" t="s">
        <v>725</v>
      </c>
      <c r="E108" t="s">
        <v>838</v>
      </c>
    </row>
    <row r="109" spans="1:5">
      <c r="A109">
        <f>"DOCUMENTATION-SI-PERFORM PERIODIC SCANS OF THE INFORMATION SYSTEM AND REAL-TIME SCANS OF FILES FROM EXTERNAL SOURCES AS FILES ARE DOWNLOADED, OPENED, OR EXECUTED."</f>
        <v>0</v>
      </c>
      <c r="B109" t="s">
        <v>854</v>
      </c>
      <c r="C109" t="s">
        <v>781</v>
      </c>
      <c r="D109" t="s">
        <v>724</v>
      </c>
      <c r="E109" t="s">
        <v>835</v>
      </c>
    </row>
    <row r="110" spans="1:5">
      <c r="A110">
        <f>"DOCUMENTATION-SI-PROVIDE PROTECTION FROM MALICIOUS CODE AT APPROPRIATE LOCATIONS WITHIN ORGANIZATIONAL INFORMATION SYSTEMS."</f>
        <v>0</v>
      </c>
      <c r="B110" t="s">
        <v>854</v>
      </c>
      <c r="C110" t="s">
        <v>781</v>
      </c>
      <c r="D110" t="s">
        <v>722</v>
      </c>
      <c r="E110" t="s">
        <v>791</v>
      </c>
    </row>
    <row r="111" spans="1:5">
      <c r="A111">
        <f>"DOCUMENTATION-SI-UPDATE MALICIOUS CODE PROTECTION MECHANISMS WHEN NEW RELEASES ARE AVAILABLE."</f>
        <v>0</v>
      </c>
      <c r="B111" t="s">
        <v>854</v>
      </c>
      <c r="C111" t="s">
        <v>781</v>
      </c>
      <c r="D111" t="s">
        <v>723</v>
      </c>
      <c r="E111" t="s">
        <v>807</v>
      </c>
    </row>
    <row r="112" spans="1:5">
      <c r="A112">
        <f>"PRACTICE-AC-[A] ARE CONDITIONS REQUIRING A USER SESSION TO TERMINATE DEFINED?"</f>
        <v>0</v>
      </c>
      <c r="B112" t="s">
        <v>780</v>
      </c>
      <c r="C112" t="s">
        <v>855</v>
      </c>
      <c r="D112" t="s">
        <v>639</v>
      </c>
      <c r="E112" t="s">
        <v>856</v>
      </c>
    </row>
    <row r="113" spans="1:5">
      <c r="A113">
        <f>"PRACTICE-AC-[A] ARE CONNECTIONS TO EXTERNAL SYSTEMS IDENTIFIED?"</f>
        <v>0</v>
      </c>
      <c r="B113" t="s">
        <v>780</v>
      </c>
      <c r="C113" t="s">
        <v>855</v>
      </c>
      <c r="D113" t="s">
        <v>636</v>
      </c>
      <c r="E113" t="s">
        <v>828</v>
      </c>
    </row>
    <row r="114" spans="1:5">
      <c r="A114">
        <f>"PRACTICE-AC-[A] ARE CRYPTOGRAPHIC MECHANISMS TO PROTECT THE CONFIDENTIALITY OF REMOTE ACCESS SESSIONS IDENTIFIED?"</f>
        <v>0</v>
      </c>
      <c r="B114" t="s">
        <v>780</v>
      </c>
      <c r="C114" t="s">
        <v>855</v>
      </c>
      <c r="D114" t="s">
        <v>641</v>
      </c>
      <c r="E114" t="s">
        <v>857</v>
      </c>
    </row>
    <row r="115" spans="1:5">
      <c r="A115">
        <f>"PRACTICE-AC-[A] ARE INDIVIDUALS AUTHORIZED TO POST OR PROCESS INFORMATION ON PUBLICLY ACCESSIBLE SYSTEMS IDENTIFIED?"</f>
        <v>0</v>
      </c>
      <c r="B115" t="s">
        <v>780</v>
      </c>
      <c r="C115" t="s">
        <v>855</v>
      </c>
      <c r="D115" t="s">
        <v>637</v>
      </c>
      <c r="E115" t="s">
        <v>809</v>
      </c>
    </row>
    <row r="116" spans="1:5">
      <c r="A116">
        <f>"PRACTICE-AC-[A] ARE INFORMATION FLOW CONTROL POLICIES DEFINED?"</f>
        <v>0</v>
      </c>
      <c r="B116" t="s">
        <v>780</v>
      </c>
      <c r="C116" t="s">
        <v>855</v>
      </c>
      <c r="D116" t="s">
        <v>649</v>
      </c>
      <c r="E116" t="s">
        <v>858</v>
      </c>
    </row>
    <row r="117" spans="1:5">
      <c r="A117">
        <f>"PRACTICE-AC-[A] ARE MANAGED ACCESS CONTROL POINTS IDENTIFIED AND IMPLEMENTED?"</f>
        <v>0</v>
      </c>
      <c r="B117" t="s">
        <v>780</v>
      </c>
      <c r="C117" t="s">
        <v>855</v>
      </c>
      <c r="D117" t="s">
        <v>642</v>
      </c>
      <c r="E117" t="s">
        <v>859</v>
      </c>
    </row>
    <row r="118" spans="1:5">
      <c r="A118">
        <f>"PRACTICE-AC-[A] ARE MOBILE DEVICES AND MOBILE COMPUTING PLATFORMS THAT PROCESS, STORE, OR TRANSMIT CUI IDENTIFIED?"</f>
        <v>0</v>
      </c>
      <c r="B118" t="s">
        <v>780</v>
      </c>
      <c r="C118" t="s">
        <v>855</v>
      </c>
      <c r="D118" t="s">
        <v>647</v>
      </c>
      <c r="E118" t="s">
        <v>860</v>
      </c>
    </row>
    <row r="119" spans="1:5">
      <c r="A119">
        <f>"PRACTICE-AC-[A] ARE MOBILE DEVICES THAT PROCESS, STORE, OR TRANSMIT CUI IDENTIFIED?"</f>
        <v>0</v>
      </c>
      <c r="B119" t="s">
        <v>780</v>
      </c>
      <c r="C119" t="s">
        <v>855</v>
      </c>
      <c r="D119" t="s">
        <v>646</v>
      </c>
      <c r="E119" t="s">
        <v>861</v>
      </c>
    </row>
    <row r="120" spans="1:5">
      <c r="A120">
        <f>"PRACTICE-AC-[A] ARE NONSECURITY FUNCTIONS ARE IDENTIFIED?"</f>
        <v>0</v>
      </c>
      <c r="B120" t="s">
        <v>780</v>
      </c>
      <c r="C120" t="s">
        <v>855</v>
      </c>
      <c r="D120" t="s">
        <v>652</v>
      </c>
      <c r="E120" t="s">
        <v>862</v>
      </c>
    </row>
    <row r="121" spans="1:5">
      <c r="A121">
        <f>"PRACTICE-AC-[A] ARE PRIVACY AND SECURITY NOTICES REQUIRED BY CUI-SPECIFIED RULES IDENTIFIED, CONSISTENT, AND ASSOCIATED WITH THE SPECIFIC CUI CATEGORY?"</f>
        <v>0</v>
      </c>
      <c r="B121" t="s">
        <v>780</v>
      </c>
      <c r="C121" t="s">
        <v>855</v>
      </c>
      <c r="D121" t="s">
        <v>655</v>
      </c>
      <c r="E121" t="s">
        <v>863</v>
      </c>
    </row>
    <row r="122" spans="1:5">
      <c r="A122">
        <f>"PRACTICE-AC-[A] ARE PRIVILEGED ACCOUNTS IDENTIFIED?"</f>
        <v>0</v>
      </c>
      <c r="B122" t="s">
        <v>780</v>
      </c>
      <c r="C122" t="s">
        <v>855</v>
      </c>
      <c r="D122" t="s">
        <v>651</v>
      </c>
      <c r="E122" t="s">
        <v>864</v>
      </c>
    </row>
    <row r="123" spans="1:5">
      <c r="A123">
        <f>"PRACTICE-AC-[A] ARE PRIVILEGED COMMANDS AUTHORIZED FOR REMOTE EXECUTION IDENTIFIED?"</f>
        <v>0</v>
      </c>
      <c r="B123" t="s">
        <v>780</v>
      </c>
      <c r="C123" t="s">
        <v>855</v>
      </c>
      <c r="D123" t="s">
        <v>643</v>
      </c>
      <c r="E123" t="s">
        <v>865</v>
      </c>
    </row>
    <row r="124" spans="1:5">
      <c r="A124">
        <f>"PRACTICE-AC-[A] ARE PRIVILEGED FUNCTIONS DEFINED?"</f>
        <v>0</v>
      </c>
      <c r="B124" t="s">
        <v>780</v>
      </c>
      <c r="C124" t="s">
        <v>855</v>
      </c>
      <c r="D124" t="s">
        <v>653</v>
      </c>
      <c r="E124" t="s">
        <v>866</v>
      </c>
    </row>
    <row r="125" spans="1:5">
      <c r="A125">
        <f>"PRACTICE-AC-[A] ARE REMOTE ACCESS SESSIONS PERMITTED?"</f>
        <v>0</v>
      </c>
      <c r="B125" t="s">
        <v>780</v>
      </c>
      <c r="C125" t="s">
        <v>855</v>
      </c>
      <c r="D125" t="s">
        <v>640</v>
      </c>
      <c r="E125" t="s">
        <v>851</v>
      </c>
    </row>
    <row r="126" spans="1:5">
      <c r="A126">
        <f>"PRACTICE-AC-[A] ARE THE DUTIES OF INDIVIDUALS REQUIRING SEPARATION DEFINED?"</f>
        <v>0</v>
      </c>
      <c r="B126" t="s">
        <v>780</v>
      </c>
      <c r="C126" t="s">
        <v>855</v>
      </c>
      <c r="D126" t="s">
        <v>650</v>
      </c>
      <c r="E126" t="s">
        <v>867</v>
      </c>
    </row>
    <row r="127" spans="1:5">
      <c r="A127">
        <f>"PRACTICE-AC-[A] ARE THE TYPES OF TRANSACTIONS AND FUNCTIONS THAT AUTHORIZED USERS ARE PERMITTED TO EXECUTE DEFINED?"</f>
        <v>0</v>
      </c>
      <c r="B127" t="s">
        <v>780</v>
      </c>
      <c r="C127" t="s">
        <v>855</v>
      </c>
      <c r="D127" t="s">
        <v>635</v>
      </c>
      <c r="E127" t="s">
        <v>825</v>
      </c>
    </row>
    <row r="128" spans="1:5">
      <c r="A128">
        <f>"PRACTICE-AC-[A] ARE WIRELESS ACCESS POINTS IDENTIFIED?"</f>
        <v>0</v>
      </c>
      <c r="B128" t="s">
        <v>780</v>
      </c>
      <c r="C128" t="s">
        <v>855</v>
      </c>
      <c r="D128" t="s">
        <v>644</v>
      </c>
      <c r="E128" t="s">
        <v>868</v>
      </c>
    </row>
    <row r="129" spans="1:5">
      <c r="A129">
        <f>"PRACTICE-AC-[A] HAVE AUTHORIZED USERS BEEN IDENTIFIED?"</f>
        <v>0</v>
      </c>
      <c r="B129" t="s">
        <v>780</v>
      </c>
      <c r="C129" t="s">
        <v>855</v>
      </c>
      <c r="D129" t="s">
        <v>634</v>
      </c>
      <c r="E129" t="s">
        <v>869</v>
      </c>
    </row>
    <row r="130" spans="1:5">
      <c r="A130">
        <f>"PRACTICE-AC-[A] IS THE MEANS OF LIMITING UNSUCCESSFUL LOGON ATTEMPTS DEFINED?"</f>
        <v>0</v>
      </c>
      <c r="B130" t="s">
        <v>780</v>
      </c>
      <c r="C130" t="s">
        <v>855</v>
      </c>
      <c r="D130" t="s">
        <v>654</v>
      </c>
      <c r="E130" t="s">
        <v>870</v>
      </c>
    </row>
    <row r="131" spans="1:5">
      <c r="A131">
        <f>"PRACTICE-AC-[A] IS THE PERIOD OF INACTIVITY AFTER WHICH THE SYSTEM INITIATES A SESSION LOCK DEFINED?"</f>
        <v>0</v>
      </c>
      <c r="B131" t="s">
        <v>780</v>
      </c>
      <c r="C131" t="s">
        <v>855</v>
      </c>
      <c r="D131" t="s">
        <v>638</v>
      </c>
      <c r="E131" t="s">
        <v>837</v>
      </c>
    </row>
    <row r="132" spans="1:5">
      <c r="A132">
        <f>"PRACTICE-AC-[A] IS WIRELESS ACCESS TO THE SYSTEM PROTECTED USING AUTHENTICATION?"</f>
        <v>0</v>
      </c>
      <c r="B132" t="s">
        <v>780</v>
      </c>
      <c r="C132" t="s">
        <v>855</v>
      </c>
      <c r="D132" t="s">
        <v>645</v>
      </c>
      <c r="E132" t="s">
        <v>871</v>
      </c>
    </row>
    <row r="133" spans="1:5">
      <c r="A133">
        <f>"PRACTICE-AC-[A] IS THE USE OF PORTABLE STORAGE DEVICES CONTAINING CUI ON EXTERNAL SYSTEMS IDENTIFIED AND DOCUMENTED?"</f>
        <v>0</v>
      </c>
      <c r="B133" t="s">
        <v>780</v>
      </c>
      <c r="C133" t="s">
        <v>855</v>
      </c>
      <c r="D133" t="s">
        <v>648</v>
      </c>
      <c r="E133" t="s">
        <v>872</v>
      </c>
    </row>
    <row r="134" spans="1:5">
      <c r="A134">
        <f>"PRACTICE-AC-[B] ARE CRYPTOGRAPHIC MECHANISMS TO PROTECT THE CONFIDENTIALITY OF REMOTE ACCESS SESSIONS IMPLEMENTED?"</f>
        <v>0</v>
      </c>
      <c r="B134" t="s">
        <v>780</v>
      </c>
      <c r="C134" t="s">
        <v>855</v>
      </c>
      <c r="D134" t="s">
        <v>641</v>
      </c>
      <c r="E134" t="s">
        <v>873</v>
      </c>
    </row>
    <row r="135" spans="1:5">
      <c r="A135">
        <f>"PRACTICE-AC-[B] ARE METHODS AND ENFORCEMENT MECHANISMS FOR CONTROLLING THE FLOW OF CUI DEFINED?"</f>
        <v>0</v>
      </c>
      <c r="B135" t="s">
        <v>780</v>
      </c>
      <c r="C135" t="s">
        <v>855</v>
      </c>
      <c r="D135" t="s">
        <v>649</v>
      </c>
      <c r="E135" t="s">
        <v>874</v>
      </c>
    </row>
    <row r="136" spans="1:5">
      <c r="A136">
        <f>"PRACTICE-AC-[B] ARE MOBILE DEVICE CONNECTIONS AUTHORIZED?"</f>
        <v>0</v>
      </c>
      <c r="B136" t="s">
        <v>780</v>
      </c>
      <c r="C136" t="s">
        <v>855</v>
      </c>
      <c r="D136" t="s">
        <v>646</v>
      </c>
      <c r="E136" t="s">
        <v>875</v>
      </c>
    </row>
    <row r="137" spans="1:5">
      <c r="A137">
        <f>"PRACTICE-AC-[B] ARE NON-PRIVILEGED USERS DEFINED?"</f>
        <v>0</v>
      </c>
      <c r="B137" t="s">
        <v>780</v>
      </c>
      <c r="C137" t="s">
        <v>855</v>
      </c>
      <c r="D137" t="s">
        <v>653</v>
      </c>
      <c r="E137" t="s">
        <v>876</v>
      </c>
    </row>
    <row r="138" spans="1:5">
      <c r="A138">
        <f>"PRACTICE-AC-[B] ARE PROCEDURES TO ENSURE FCI IS NOT POSTED OR PROCESSED ON PUBLICLY ACCESSIBLE SYSTEMS IDENTIFIED?"</f>
        <v>0</v>
      </c>
      <c r="B138" t="s">
        <v>780</v>
      </c>
      <c r="C138" t="s">
        <v>855</v>
      </c>
      <c r="D138" t="s">
        <v>637</v>
      </c>
      <c r="E138" t="s">
        <v>877</v>
      </c>
    </row>
    <row r="139" spans="1:5">
      <c r="A139">
        <f>"PRACTICE-AC-[B] ARE RESPONSIBILITIES FOR DUTIES THAT REQUIRE SEPARATION ASSIGNED TO SEPARATE INDIVIDUALS?"</f>
        <v>0</v>
      </c>
      <c r="B139" t="s">
        <v>780</v>
      </c>
      <c r="C139" t="s">
        <v>855</v>
      </c>
      <c r="D139" t="s">
        <v>650</v>
      </c>
      <c r="E139" t="s">
        <v>878</v>
      </c>
    </row>
    <row r="140" spans="1:5">
      <c r="A140">
        <f>"PRACTICE-AC-[B] ARE THE TYPES OF PERMITTED REMOTE ACCESS IDENTIFIED?"</f>
        <v>0</v>
      </c>
      <c r="B140" t="s">
        <v>780</v>
      </c>
      <c r="C140" t="s">
        <v>855</v>
      </c>
      <c r="D140" t="s">
        <v>640</v>
      </c>
      <c r="E140" t="s">
        <v>879</v>
      </c>
    </row>
    <row r="141" spans="1:5">
      <c r="A141">
        <f>"PRACTICE-AC-[B] ARE LIMITS ON THE USE OF PORTABLE STORAGE DEVICES CONTAINING CUI ON EXTERNAL SYSTEMS DEFINED?"</f>
        <v>0</v>
      </c>
      <c r="B141" t="s">
        <v>780</v>
      </c>
      <c r="C141" t="s">
        <v>855</v>
      </c>
      <c r="D141" t="s">
        <v>648</v>
      </c>
      <c r="E141" t="s">
        <v>880</v>
      </c>
    </row>
    <row r="142" spans="1:5">
      <c r="A142">
        <f>"PRACTICE-AC-[B] ARE PRIVACY AND SECURITY NOTICES DISPLAYED?"</f>
        <v>0</v>
      </c>
      <c r="B142" t="s">
        <v>780</v>
      </c>
      <c r="C142" t="s">
        <v>855</v>
      </c>
      <c r="D142" t="s">
        <v>655</v>
      </c>
      <c r="E142" t="s">
        <v>881</v>
      </c>
    </row>
    <row r="143" spans="1:5">
      <c r="A143">
        <f>"PRACTICE-AC-[B] ARE USERS REQUIRED TO USE NON-PRIVILEGED ACCOUNTS OR ROLES WHEN ACCESSING NONSECURITY FUNCTIONS?"</f>
        <v>0</v>
      </c>
      <c r="B143" t="s">
        <v>780</v>
      </c>
      <c r="C143" t="s">
        <v>855</v>
      </c>
      <c r="D143" t="s">
        <v>652</v>
      </c>
      <c r="E143" t="s">
        <v>882</v>
      </c>
    </row>
    <row r="144" spans="1:5">
      <c r="A144">
        <f>"PRACTICE-AC-[B] HAVE PROCESSES ACTING ON BEHALF OF AUTHORIZED USERS BEEN IDENTIFIED?"</f>
        <v>0</v>
      </c>
      <c r="B144" t="s">
        <v>780</v>
      </c>
      <c r="C144" t="s">
        <v>855</v>
      </c>
      <c r="D144" t="s">
        <v>634</v>
      </c>
      <c r="E144" t="s">
        <v>834</v>
      </c>
    </row>
    <row r="145" spans="1:5">
      <c r="A145">
        <f>"PRACTICE-AC-[B] IS A USER SESSION AUTOMATICALLY TERMINATED AFTER ANY OF THE DEFINED CONDITIONS OCCUR?"</f>
        <v>0</v>
      </c>
      <c r="B145" t="s">
        <v>780</v>
      </c>
      <c r="C145" t="s">
        <v>855</v>
      </c>
      <c r="D145" t="s">
        <v>639</v>
      </c>
      <c r="E145" t="s">
        <v>821</v>
      </c>
    </row>
    <row r="146" spans="1:5">
      <c r="A146">
        <f>"PRACTICE-AC-[B] IS ACCESS TO PRIVILEGED ACCOUNTS AUTHORIZED IN ACCORDANCE WITH THE PRINCIPLE OF LEAST PRIVILEGE?"</f>
        <v>0</v>
      </c>
      <c r="B146" t="s">
        <v>780</v>
      </c>
      <c r="C146" t="s">
        <v>855</v>
      </c>
      <c r="D146" t="s">
        <v>651</v>
      </c>
      <c r="E146" t="s">
        <v>883</v>
      </c>
    </row>
    <row r="147" spans="1:5">
      <c r="A147">
        <f>"PRACTICE-AC-[B] IS ACCESS TO THE SYSTEM AND VIEWING OF DATA PREVENTED BY INITIATING A SESSION LOCK AFTER THE DEFINED PERIOD OF INACTIVITY?"</f>
        <v>0</v>
      </c>
      <c r="B147" t="s">
        <v>780</v>
      </c>
      <c r="C147" t="s">
        <v>855</v>
      </c>
      <c r="D147" t="s">
        <v>638</v>
      </c>
      <c r="E147" t="s">
        <v>884</v>
      </c>
    </row>
    <row r="148" spans="1:5">
      <c r="A148">
        <f>"PRACTICE-AC-[B] IS ENCRYPTION EMPLOYED TO PROTECT CUI ON IDENTIFIED MOBILE DEVICES AND MOBILE COMPUTING PLATFORMS?"</f>
        <v>0</v>
      </c>
      <c r="B148" t="s">
        <v>780</v>
      </c>
      <c r="C148" t="s">
        <v>855</v>
      </c>
      <c r="D148" t="s">
        <v>647</v>
      </c>
      <c r="E148" t="s">
        <v>885</v>
      </c>
    </row>
    <row r="149" spans="1:5">
      <c r="A149">
        <f>"PRACTICE-AC-[B] IS REMOTE ACCESS ROUTED THROUGH MANAGED NETWORK ACCESS CONTROL POINTS?"</f>
        <v>0</v>
      </c>
      <c r="B149" t="s">
        <v>780</v>
      </c>
      <c r="C149" t="s">
        <v>855</v>
      </c>
      <c r="D149" t="s">
        <v>642</v>
      </c>
      <c r="E149" t="s">
        <v>824</v>
      </c>
    </row>
    <row r="150" spans="1:5">
      <c r="A150">
        <f>"PRACTICE-AC-[B] IS SECURITY-RELEVANT INFORMATION AUTHORIZED TO BE ACCESSED REMOTELY IDENTIFIED?"</f>
        <v>0</v>
      </c>
      <c r="B150" t="s">
        <v>780</v>
      </c>
      <c r="C150" t="s">
        <v>855</v>
      </c>
      <c r="D150" t="s">
        <v>643</v>
      </c>
      <c r="E150" t="s">
        <v>886</v>
      </c>
    </row>
    <row r="151" spans="1:5">
      <c r="A151">
        <f>"PRACTICE-AC-[B] IS SYSTEM ACCESS LIMITED TO THE DEFINED TYPES OF TRANSACTIONS AND FUNCTIONS FOR AUTHORIZED USERS?"</f>
        <v>0</v>
      </c>
      <c r="B151" t="s">
        <v>780</v>
      </c>
      <c r="C151" t="s">
        <v>855</v>
      </c>
      <c r="D151" t="s">
        <v>635</v>
      </c>
      <c r="E151" t="s">
        <v>806</v>
      </c>
    </row>
    <row r="152" spans="1:5">
      <c r="A152">
        <f>"PRACTICE-AC-[B] IS THE DEFINED MEANS OF LIMITING UNSUCCESSFUL LOGON ATTEMPTS IMPLEMENTED?"</f>
        <v>0</v>
      </c>
      <c r="B152" t="s">
        <v>780</v>
      </c>
      <c r="C152" t="s">
        <v>855</v>
      </c>
      <c r="D152" t="s">
        <v>654</v>
      </c>
      <c r="E152" t="s">
        <v>887</v>
      </c>
    </row>
    <row r="153" spans="1:5">
      <c r="A153">
        <f>"PRACTICE-AC-[B] IS THE USE OF EXTERNAL SYSTEMS IDENTIFIED?"</f>
        <v>0</v>
      </c>
      <c r="B153" t="s">
        <v>780</v>
      </c>
      <c r="C153" t="s">
        <v>855</v>
      </c>
      <c r="D153" t="s">
        <v>636</v>
      </c>
      <c r="E153" t="s">
        <v>807</v>
      </c>
    </row>
    <row r="154" spans="1:5">
      <c r="A154">
        <f>"PRACTICE-AC-[B] IS WIRELESS ACCESS AUTHORIZED PRIOR TO ALLOWING SUCH CONNECTIONS?"</f>
        <v>0</v>
      </c>
      <c r="B154" t="s">
        <v>780</v>
      </c>
      <c r="C154" t="s">
        <v>855</v>
      </c>
      <c r="D154" t="s">
        <v>644</v>
      </c>
      <c r="E154" t="s">
        <v>888</v>
      </c>
    </row>
    <row r="155" spans="1:5">
      <c r="A155">
        <f>"PRACTICE-AC-[B] IS WIRELESS ACCESS TO THE SYSTEM PROTECTED USING ENCRYPTION?"</f>
        <v>0</v>
      </c>
      <c r="B155" t="s">
        <v>780</v>
      </c>
      <c r="C155" t="s">
        <v>855</v>
      </c>
      <c r="D155" t="s">
        <v>645</v>
      </c>
      <c r="E155" t="s">
        <v>889</v>
      </c>
    </row>
    <row r="156" spans="1:5">
      <c r="A156">
        <f>"PRACTICE-AC-[C] ARE ACCESS PRIVILEGES THAT ENABLE INDIVIDUALS TO EXERCISE THE DUTIES THAT REQUIRE SEPARATION GRANTED TO SEPARATE INDIVIDUALS?"</f>
        <v>0</v>
      </c>
      <c r="B156" t="s">
        <v>780</v>
      </c>
      <c r="C156" t="s">
        <v>855</v>
      </c>
      <c r="D156" t="s">
        <v>650</v>
      </c>
      <c r="E156" t="s">
        <v>890</v>
      </c>
    </row>
    <row r="157" spans="1:5">
      <c r="A157">
        <f>"PRACTICE-AC-[C] ARE CONNECTIONS TO EXTERNAL SYSTEMS VERIFIED?"</f>
        <v>0</v>
      </c>
      <c r="B157" t="s">
        <v>780</v>
      </c>
      <c r="C157" t="s">
        <v>855</v>
      </c>
      <c r="D157" t="s">
        <v>636</v>
      </c>
      <c r="E157" t="s">
        <v>832</v>
      </c>
    </row>
    <row r="158" spans="1:5">
      <c r="A158">
        <f>"PRACTICE-AC-[C] ARE DESIGNATED SOURCES AND DESTINATIONS (E.G., NETWORKS, INDIVIDUALS, AND DEVICES) FOR CUI WITHIN THE SYSTEM AND BETWEEN INTERCONNECTED SYSTEMS IDENTIFIED?"</f>
        <v>0</v>
      </c>
      <c r="B158" t="s">
        <v>780</v>
      </c>
      <c r="C158" t="s">
        <v>855</v>
      </c>
      <c r="D158" t="s">
        <v>649</v>
      </c>
      <c r="E158" t="s">
        <v>891</v>
      </c>
    </row>
    <row r="159" spans="1:5">
      <c r="A159">
        <f>"PRACTICE-AC-[C] ARE MOBILE DEVICE CONNECTIONS MONITORED AND LOGGED?"</f>
        <v>0</v>
      </c>
      <c r="B159" t="s">
        <v>780</v>
      </c>
      <c r="C159" t="s">
        <v>855</v>
      </c>
      <c r="D159" t="s">
        <v>646</v>
      </c>
      <c r="E159" t="s">
        <v>892</v>
      </c>
    </row>
    <row r="160" spans="1:5">
      <c r="A160">
        <f>"PRACTICE-AC-[C] ARE NON-PRIVILEGED USERS PREVENTED FROM EXECUTING PRIVILEGED FUNCTIONS?"</f>
        <v>0</v>
      </c>
      <c r="B160" t="s">
        <v>780</v>
      </c>
      <c r="C160" t="s">
        <v>855</v>
      </c>
      <c r="D160" t="s">
        <v>653</v>
      </c>
      <c r="E160" t="s">
        <v>893</v>
      </c>
    </row>
    <row r="161" spans="1:5">
      <c r="A161">
        <f>"PRACTICE-AC-[C] ARE REMOTE ACCESS SESSIONS CONTROLLED?"</f>
        <v>0</v>
      </c>
      <c r="B161" t="s">
        <v>780</v>
      </c>
      <c r="C161" t="s">
        <v>855</v>
      </c>
      <c r="D161" t="s">
        <v>640</v>
      </c>
      <c r="E161" t="s">
        <v>894</v>
      </c>
    </row>
    <row r="162" spans="1:5">
      <c r="A162">
        <f>"PRACTICE-AC-[C] ARE SECURITY FUNCTIONS IDENTIFIED?"</f>
        <v>0</v>
      </c>
      <c r="B162" t="s">
        <v>780</v>
      </c>
      <c r="C162" t="s">
        <v>855</v>
      </c>
      <c r="D162" t="s">
        <v>651</v>
      </c>
      <c r="E162" t="s">
        <v>895</v>
      </c>
    </row>
    <row r="163" spans="1:5">
      <c r="A163">
        <f>"PRACTICE-AC-[C] HAVE DEVICES (AND OTHER SYSTEMS) AUTHORIZED TO CONNECT TO THE SYSTEM BEEN IDENTIFIED?"</f>
        <v>0</v>
      </c>
      <c r="B163" t="s">
        <v>780</v>
      </c>
      <c r="C163" t="s">
        <v>855</v>
      </c>
      <c r="D163" t="s">
        <v>634</v>
      </c>
      <c r="E163" t="s">
        <v>817</v>
      </c>
    </row>
    <row r="164" spans="1:5">
      <c r="A164">
        <f>"PRACTICE-AC-[C] IS PREVIOUSLY VISIBLE INFORMATION CONCEALED VIA A PATTERN-HIDING DISPLAY AFTER THE DEFINED PERIOD OF INACTIVITY?"</f>
        <v>0</v>
      </c>
      <c r="B164" t="s">
        <v>780</v>
      </c>
      <c r="C164" t="s">
        <v>855</v>
      </c>
      <c r="D164" t="s">
        <v>638</v>
      </c>
      <c r="E164" t="s">
        <v>812</v>
      </c>
    </row>
    <row r="165" spans="1:5">
      <c r="A165">
        <f>"PRACTICE-AC-[C] IS THE EXECUTION OF THE IDENTIFIED PRIVILEGED COMMANDS VIA REMOTE ACCESS AUTHORIZED?"</f>
        <v>0</v>
      </c>
      <c r="B165" t="s">
        <v>780</v>
      </c>
      <c r="C165" t="s">
        <v>855</v>
      </c>
      <c r="D165" t="s">
        <v>643</v>
      </c>
      <c r="E165" t="s">
        <v>852</v>
      </c>
    </row>
    <row r="166" spans="1:5">
      <c r="A166">
        <f>"PRACTICE-AC-[C] IS THE USE OF PORTABLE STORAGE DEVICES CONTAINING CUI ON EXTERNAL SYSTEMS LIMITED AS DEFINED?"</f>
        <v>0</v>
      </c>
      <c r="B166" t="s">
        <v>780</v>
      </c>
      <c r="C166" t="s">
        <v>855</v>
      </c>
      <c r="D166" t="s">
        <v>648</v>
      </c>
      <c r="E166" t="s">
        <v>896</v>
      </c>
    </row>
    <row r="167" spans="1:5">
      <c r="A167">
        <f>"PRACTICE-AC-[C]IS A REVIEW PROCESS IN PLACE PRIOR TO POSTING OF ANY CONTENT TO PUBLICLY ACCESSIBLE SYSTEMS?"</f>
        <v>0</v>
      </c>
      <c r="B167" t="s">
        <v>780</v>
      </c>
      <c r="C167" t="s">
        <v>855</v>
      </c>
      <c r="D167" t="s">
        <v>637</v>
      </c>
      <c r="E167" t="s">
        <v>829</v>
      </c>
    </row>
    <row r="168" spans="1:5">
      <c r="A168">
        <f>"PRACTICE-AC-[D] ARE AUTHORIZATIONS FOR CONTROLLING THE FLOW OF CUI DEFINED?"</f>
        <v>0</v>
      </c>
      <c r="B168" t="s">
        <v>780</v>
      </c>
      <c r="C168" t="s">
        <v>855</v>
      </c>
      <c r="D168" t="s">
        <v>649</v>
      </c>
      <c r="E168" t="s">
        <v>897</v>
      </c>
    </row>
    <row r="169" spans="1:5">
      <c r="A169">
        <f>"PRACTICE-AC-[D] ARE REMOTE ACCESS SESSIONS MONITORED?"</f>
        <v>0</v>
      </c>
      <c r="B169" t="s">
        <v>780</v>
      </c>
      <c r="C169" t="s">
        <v>855</v>
      </c>
      <c r="D169" t="s">
        <v>640</v>
      </c>
      <c r="E169" t="s">
        <v>898</v>
      </c>
    </row>
    <row r="170" spans="1:5">
      <c r="A170">
        <f>"PRACTICE-AC-[D] IS ACCESS TO THE IDENTIFIED SECURITY-RELEVANT INFORMATION VIA REMOTE ACCESS AUTHORIZED?"</f>
        <v>0</v>
      </c>
      <c r="B170" t="s">
        <v>780</v>
      </c>
      <c r="C170" t="s">
        <v>855</v>
      </c>
      <c r="D170" t="s">
        <v>643</v>
      </c>
      <c r="E170" t="s">
        <v>820</v>
      </c>
    </row>
    <row r="171" spans="1:5">
      <c r="A171">
        <f>"PRACTICE-AC-[D] IS CONTENT ON PUBLICLY ACCESSIBLE SYSTEMS REVIEWED TO ENSURE THAT IT DOES NOT INCLUDE FCI? "</f>
        <v>0</v>
      </c>
      <c r="B171" t="s">
        <v>780</v>
      </c>
      <c r="C171" t="s">
        <v>855</v>
      </c>
      <c r="D171" t="s">
        <v>637</v>
      </c>
      <c r="E171" t="s">
        <v>842</v>
      </c>
    </row>
    <row r="172" spans="1:5">
      <c r="A172">
        <f>"PRACTICE-AC-[D] IS SYSTEM ACCESS LIMITED TO AUTHORIZED USERS?"</f>
        <v>0</v>
      </c>
      <c r="B172" t="s">
        <v>780</v>
      </c>
      <c r="C172" t="s">
        <v>855</v>
      </c>
      <c r="D172" t="s">
        <v>634</v>
      </c>
      <c r="E172" t="s">
        <v>827</v>
      </c>
    </row>
    <row r="173" spans="1:5">
      <c r="A173">
        <f>"PRACTICE-AC-[D] IS THE EXECUTION OF PRIVILEGED FUNCTIONS CAPTURED IN AUDIT LOGS?"</f>
        <v>0</v>
      </c>
      <c r="B173" t="s">
        <v>780</v>
      </c>
      <c r="C173" t="s">
        <v>855</v>
      </c>
      <c r="D173" t="s">
        <v>653</v>
      </c>
      <c r="E173" t="s">
        <v>899</v>
      </c>
    </row>
    <row r="174" spans="1:5">
      <c r="A174">
        <f>"PRACTICE-AC-[D] IS THE USE OF EXTERNAL SYSTEMS VERIFIED?"</f>
        <v>0</v>
      </c>
      <c r="B174" t="s">
        <v>780</v>
      </c>
      <c r="C174" t="s">
        <v>855</v>
      </c>
      <c r="D174" t="s">
        <v>636</v>
      </c>
      <c r="E174" t="s">
        <v>813</v>
      </c>
    </row>
    <row r="175" spans="1:5">
      <c r="A175">
        <f>"PRACTICE-AC-[D] IS ACCESS TO SECURITY FUNCTIONS AUTHORIZED IN ACCORDANCE WITH THE PRINCIPLE OF LEAST PRIVILEGE?"</f>
        <v>0</v>
      </c>
      <c r="B175" t="s">
        <v>780</v>
      </c>
      <c r="C175" t="s">
        <v>855</v>
      </c>
      <c r="D175" t="s">
        <v>651</v>
      </c>
      <c r="E175" t="s">
        <v>900</v>
      </c>
    </row>
    <row r="176" spans="1:5">
      <c r="A176">
        <f>"PRACTICE-AC-[E] ARE APPROVED AUTHORIZATIONS FOR CONTROLLING THE FLOW OF CUI ENFORCED?"</f>
        <v>0</v>
      </c>
      <c r="B176" t="s">
        <v>780</v>
      </c>
      <c r="C176" t="s">
        <v>855</v>
      </c>
      <c r="D176" t="s">
        <v>649</v>
      </c>
      <c r="E176" t="s">
        <v>901</v>
      </c>
    </row>
    <row r="177" spans="1:5">
      <c r="A177">
        <f>"PRACTICE-AC-[E] ARE CONNECTIONS TO EXTERNAL SYSTEMS CONTROLLED/LIMITED?"</f>
        <v>0</v>
      </c>
      <c r="B177" t="s">
        <v>780</v>
      </c>
      <c r="C177" t="s">
        <v>855</v>
      </c>
      <c r="D177" t="s">
        <v>636</v>
      </c>
      <c r="E177" t="s">
        <v>822</v>
      </c>
    </row>
    <row r="178" spans="1:5">
      <c r="A178">
        <f>"PRACTICE-AC-[E] ARE MECHANISMS IN PLACE TO REMOVE AND ADDRESS IMPROPER POSTING OF FCI?"</f>
        <v>0</v>
      </c>
      <c r="B178" t="s">
        <v>780</v>
      </c>
      <c r="C178" t="s">
        <v>855</v>
      </c>
      <c r="D178" t="s">
        <v>637</v>
      </c>
      <c r="E178" t="s">
        <v>838</v>
      </c>
    </row>
    <row r="179" spans="1:5">
      <c r="A179">
        <f>"PRACTICE-AC-[E] IS SYSTEM ACCESS LIMITED TO PROCESSES ACTING ON BEHALF OF AUTHORIZED USERS?"</f>
        <v>0</v>
      </c>
      <c r="B179" t="s">
        <v>780</v>
      </c>
      <c r="C179" t="s">
        <v>855</v>
      </c>
      <c r="D179" t="s">
        <v>634</v>
      </c>
      <c r="E179" t="s">
        <v>805</v>
      </c>
    </row>
    <row r="180" spans="1:5">
      <c r="A180">
        <f>"PRACTICE-AC-[F] IS SYSTEM ACCESS LIMITED TO AUTHORIZED DEVICES (INCLUDING OTHER SYSTEMS)?"</f>
        <v>0</v>
      </c>
      <c r="B180" t="s">
        <v>780</v>
      </c>
      <c r="C180" t="s">
        <v>855</v>
      </c>
      <c r="D180" t="s">
        <v>634</v>
      </c>
      <c r="E180" t="s">
        <v>902</v>
      </c>
    </row>
    <row r="181" spans="1:5">
      <c r="A181">
        <f>"PRACTICE-AC-[F] IS THE USE OF EXTERNAL SYSTEMS CONTROLLED/LIMITED?"</f>
        <v>0</v>
      </c>
      <c r="B181" t="s">
        <v>780</v>
      </c>
      <c r="C181" t="s">
        <v>855</v>
      </c>
      <c r="D181" t="s">
        <v>636</v>
      </c>
      <c r="E181" t="s">
        <v>843</v>
      </c>
    </row>
    <row r="182" spans="1:5">
      <c r="A182">
        <f>"PRACTICE-AT-[A] ARE INFORMATION SECURITY-RELATED DUTIES, ROLES, AND RESPONSIBILITIES DEFINED?"</f>
        <v>0</v>
      </c>
      <c r="B182" t="s">
        <v>804</v>
      </c>
      <c r="C182" t="s">
        <v>855</v>
      </c>
      <c r="D182" t="s">
        <v>666</v>
      </c>
      <c r="E182" t="s">
        <v>831</v>
      </c>
    </row>
    <row r="183" spans="1:5">
      <c r="A183">
        <f>"PRACTICE-AT-[A] ARE POTENTIAL INDICATORS ASSOCIATED WITH INSIDER THREATS IDENTIFIED?"</f>
        <v>0</v>
      </c>
      <c r="B183" t="s">
        <v>804</v>
      </c>
      <c r="C183" t="s">
        <v>855</v>
      </c>
      <c r="D183" t="s">
        <v>667</v>
      </c>
      <c r="E183" t="s">
        <v>839</v>
      </c>
    </row>
    <row r="184" spans="1:5">
      <c r="A184">
        <f>"PRACTICE-AT-[A] ARE SECURITY RISKS ASSOCIATED WITH ORGANIZATIONAL ACTIVITIES INVOLVING CUI IDENTIFIED?"</f>
        <v>0</v>
      </c>
      <c r="B184" t="s">
        <v>804</v>
      </c>
      <c r="C184" t="s">
        <v>855</v>
      </c>
      <c r="D184" t="s">
        <v>665</v>
      </c>
      <c r="E184" t="s">
        <v>869</v>
      </c>
    </row>
    <row r="185" spans="1:5">
      <c r="A185">
        <f>"PRACTICE-AT-[B] ARE INFORMATION SECURITY-RELATED DUTIES, ROLES, AND RESPONSIBILITIES ASSIGNED TO DESIGNATED PERSONNEL?"</f>
        <v>0</v>
      </c>
      <c r="B185" t="s">
        <v>804</v>
      </c>
      <c r="C185" t="s">
        <v>855</v>
      </c>
      <c r="D185" t="s">
        <v>666</v>
      </c>
      <c r="E185" t="s">
        <v>815</v>
      </c>
    </row>
    <row r="186" spans="1:5">
      <c r="A186">
        <f>"PRACTICE-AT-[B] ARE POLICIES, STANDARDS, AND PROCEDURES RELATED TO THE SECURITY OF THE SYSTEM IDENTIFIED?"</f>
        <v>0</v>
      </c>
      <c r="B186" t="s">
        <v>804</v>
      </c>
      <c r="C186" t="s">
        <v>855</v>
      </c>
      <c r="D186" t="s">
        <v>665</v>
      </c>
      <c r="E186" t="s">
        <v>834</v>
      </c>
    </row>
    <row r="187" spans="1:5">
      <c r="A187">
        <f>"PRACTICE-AT-[B] IS SECURITY AWARENESS TRAINING ON RECOGNIZING AND REPORTING POTENTIAL INDICATORS OF INSIDER THREAT PROVIDED TO MANAGERS AND EMPLOYEES?"</f>
        <v>0</v>
      </c>
      <c r="B187" t="s">
        <v>804</v>
      </c>
      <c r="C187" t="s">
        <v>855</v>
      </c>
      <c r="D187" t="s">
        <v>667</v>
      </c>
      <c r="E187" t="s">
        <v>828</v>
      </c>
    </row>
    <row r="188" spans="1:5">
      <c r="A188">
        <f>"PRACTICE-AT-[C] ARE MANAGERS, SYSTEMS ADMINISTRATORS, AND USERS OF THE SYSTEM MADE AWARE OF THE SECURITY RISKS ASSOCIATED WITH THEIR ACTIVITIES?"</f>
        <v>0</v>
      </c>
      <c r="B188" t="s">
        <v>804</v>
      </c>
      <c r="C188" t="s">
        <v>855</v>
      </c>
      <c r="D188" t="s">
        <v>665</v>
      </c>
      <c r="E188" t="s">
        <v>817</v>
      </c>
    </row>
    <row r="189" spans="1:5">
      <c r="A189">
        <f>"PRACTICE-AT-[C] ARE PERSONNEL ADEQUATELY TRAINED TO CARRY OUT THEIR ASSIGNED INFORMATION SECURITY-RELATED DUTIES, ROLES, AND RESPONSIBILITIES?"</f>
        <v>0</v>
      </c>
      <c r="B189" t="s">
        <v>804</v>
      </c>
      <c r="C189" t="s">
        <v>855</v>
      </c>
      <c r="D189" t="s">
        <v>666</v>
      </c>
      <c r="E189" t="s">
        <v>825</v>
      </c>
    </row>
    <row r="190" spans="1:5">
      <c r="A190">
        <f>"PRACTICE-AT-[D] ARE MANAGERS, SYSTEMS ADMINISTRATORS, AND USERS OF THE SYSTEM MADE AWARE OF THE APPLICABLE POLICIES, STANDARDS, AND PROCEDURES RELATED TO THE SECURITY OF THE SYSTEM?"</f>
        <v>0</v>
      </c>
      <c r="B190" t="s">
        <v>804</v>
      </c>
      <c r="C190" t="s">
        <v>855</v>
      </c>
      <c r="D190" t="s">
        <v>665</v>
      </c>
      <c r="E190" t="s">
        <v>827</v>
      </c>
    </row>
    <row r="191" spans="1:5">
      <c r="A191">
        <f>"PRACTICE-AU-[A] ARE AUDIT LOGS NEEDED (I.E., EVENT TYPES TO BE LOGGED) TO ENABLE THE MONITORING, ANALYSIS, INVESTIGATION, AND REPORTING OF UNLAWFUL OR UNAUTHORIZED SYSTEM ACTIVITY SPECIFIED?"</f>
        <v>0</v>
      </c>
      <c r="B191" t="s">
        <v>808</v>
      </c>
      <c r="C191" t="s">
        <v>855</v>
      </c>
      <c r="D191" t="s">
        <v>656</v>
      </c>
      <c r="E191" t="s">
        <v>869</v>
      </c>
    </row>
    <row r="192" spans="1:5">
      <c r="A192">
        <f>"PRACTICE-AU-[A] ARE AUDIT RECORD REVIEW, ANALYSIS, AND REPORTING PROCESSES FOR INVESTIGATION AND RESPONSE TO INDICATIONS OF UNLAWFUL, UNAUTHORIZED, SUSPICIOUS, OR UNUSUAL ACTIVITY DEFINED?"</f>
        <v>0</v>
      </c>
      <c r="B192" t="s">
        <v>808</v>
      </c>
      <c r="C192" t="s">
        <v>855</v>
      </c>
      <c r="D192" t="s">
        <v>660</v>
      </c>
      <c r="E192" t="s">
        <v>842</v>
      </c>
    </row>
    <row r="193" spans="1:5">
      <c r="A193">
        <f>"PRACTICE-AU-[A] ARE INTERNAL SYSTEM CLOCKS USED TO GENERATE TIME STAMPS FOR AUDIT RECORDS?"</f>
        <v>0</v>
      </c>
      <c r="B193" t="s">
        <v>808</v>
      </c>
      <c r="C193" t="s">
        <v>855</v>
      </c>
      <c r="D193" t="s">
        <v>662</v>
      </c>
      <c r="E193" t="s">
        <v>903</v>
      </c>
    </row>
    <row r="194" spans="1:5">
      <c r="A194">
        <f>"PRACTICE-AU-[A] ARE PERSONNEL OR ROLES TO BE ALERTED IN THE EVENT OF AN AUDIT LOGGING PROCESS FAILURE IDENTIFIED?"</f>
        <v>0</v>
      </c>
      <c r="B194" t="s">
        <v>808</v>
      </c>
      <c r="C194" t="s">
        <v>855</v>
      </c>
      <c r="D194" t="s">
        <v>659</v>
      </c>
      <c r="E194" t="s">
        <v>803</v>
      </c>
    </row>
    <row r="195" spans="1:5">
      <c r="A195">
        <f>"PRACTICE-AU-[A] IS A PROCESS FOR DETERMINING WHEN TO REVIEW LOGGED EVENTS DEFINED?"</f>
        <v>0</v>
      </c>
      <c r="B195" t="s">
        <v>808</v>
      </c>
      <c r="C195" t="s">
        <v>855</v>
      </c>
      <c r="D195" t="s">
        <v>658</v>
      </c>
      <c r="E195" t="s">
        <v>828</v>
      </c>
    </row>
    <row r="196" spans="1:5">
      <c r="A196">
        <f>"PRACTICE-AU-[A] IS A SUBSET OF PRIVILEGED USERS GRANTED ACCESS TO MANAGE AUDIT LOGGING FUNCTIONALITY DEFINED?"</f>
        <v>0</v>
      </c>
      <c r="B196" t="s">
        <v>808</v>
      </c>
      <c r="C196" t="s">
        <v>855</v>
      </c>
      <c r="D196" t="s">
        <v>664</v>
      </c>
      <c r="E196" t="s">
        <v>787</v>
      </c>
    </row>
    <row r="197" spans="1:5">
      <c r="A197">
        <f>"PRACTICE-AU-[A] IS AN AUDIT RECORD REDUCTION CAPABILITY THAT SUPPORTS ON-DEMAND ANALYSIS PROVIDED?"</f>
        <v>0</v>
      </c>
      <c r="B197" t="s">
        <v>808</v>
      </c>
      <c r="C197" t="s">
        <v>855</v>
      </c>
      <c r="D197" t="s">
        <v>661</v>
      </c>
      <c r="E197" t="s">
        <v>837</v>
      </c>
    </row>
    <row r="198" spans="1:5">
      <c r="A198">
        <f>"PRACTICE-AU-[A] IS AUDIT INFORMATION PROTECTED FROM UNAUTHORIZED ACCESS?"</f>
        <v>0</v>
      </c>
      <c r="B198" t="s">
        <v>808</v>
      </c>
      <c r="C198" t="s">
        <v>855</v>
      </c>
      <c r="D198" t="s">
        <v>663</v>
      </c>
      <c r="E198" t="s">
        <v>851</v>
      </c>
    </row>
    <row r="199" spans="1:5">
      <c r="A199">
        <f>"PRACTICE-AU-[A] IS THE CONTENT OF THE AUDIT RECORDS NEEDED TO SUPPORT THE ABILITY TO UNIQUELY TRACE USERS TO THEIR ACTIONS DEFINED?"</f>
        <v>0</v>
      </c>
      <c r="B199" t="s">
        <v>808</v>
      </c>
      <c r="C199" t="s">
        <v>855</v>
      </c>
      <c r="D199" t="s">
        <v>657</v>
      </c>
      <c r="E199" t="s">
        <v>825</v>
      </c>
    </row>
    <row r="200" spans="1:5">
      <c r="A200">
        <f>"PRACTICE-AU-[B] ARE DEFINED AUDIT RECORD REVIEW, ANALYSIS, AND REPORTING PROCESSES CORRELATED?"</f>
        <v>0</v>
      </c>
      <c r="B200" t="s">
        <v>808</v>
      </c>
      <c r="C200" t="s">
        <v>855</v>
      </c>
      <c r="D200" t="s">
        <v>660</v>
      </c>
      <c r="E200" t="s">
        <v>838</v>
      </c>
    </row>
    <row r="201" spans="1:5">
      <c r="A201">
        <f>"PRACTICE-AU-[B] ARE EVENT TYPES BEING LOGGED REVIEWED IN ACCORDANCE WITH THE DEFINED REVIEW PROCESS?"</f>
        <v>0</v>
      </c>
      <c r="B201" t="s">
        <v>808</v>
      </c>
      <c r="C201" t="s">
        <v>855</v>
      </c>
      <c r="D201" t="s">
        <v>658</v>
      </c>
      <c r="E201" t="s">
        <v>807</v>
      </c>
    </row>
    <row r="202" spans="1:5">
      <c r="A202">
        <f>"PRACTICE-AU-[B] ARE TYPES OF AUDIT LOGGING PROCESS FAILURES FOR WHICH ALERT WILL BE GENERATED DEFINED?"</f>
        <v>0</v>
      </c>
      <c r="B202" t="s">
        <v>808</v>
      </c>
      <c r="C202" t="s">
        <v>855</v>
      </c>
      <c r="D202" t="s">
        <v>659</v>
      </c>
      <c r="E202" t="s">
        <v>835</v>
      </c>
    </row>
    <row r="203" spans="1:5">
      <c r="A203">
        <f>"PRACTICE-AU-[B] DO THE AUDIT RECORDS, ONCE CREATED, CONTAIN THE DEFINED CONTENT?"</f>
        <v>0</v>
      </c>
      <c r="B203" t="s">
        <v>808</v>
      </c>
      <c r="C203" t="s">
        <v>855</v>
      </c>
      <c r="D203" t="s">
        <v>657</v>
      </c>
      <c r="E203" t="s">
        <v>806</v>
      </c>
    </row>
    <row r="204" spans="1:5">
      <c r="A204">
        <f>"PRACTICE-AU-[B] IS A REPORT GENERATION CAPABILITY THAT SUPPORTS ON-DEMAND REPORTING PROVIDED?"</f>
        <v>0</v>
      </c>
      <c r="B204" t="s">
        <v>808</v>
      </c>
      <c r="C204" t="s">
        <v>855</v>
      </c>
      <c r="D204" t="s">
        <v>661</v>
      </c>
      <c r="E204" t="s">
        <v>884</v>
      </c>
    </row>
    <row r="205" spans="1:5">
      <c r="A205">
        <f>"PRACTICE-AU-[B] IS AN AUTHORITATIVE SOURCE WITH WHICH TO COMPARE AND SYNCHRONIZE INTERNAL SYSTEM CLOCKS SPECIFIED?"</f>
        <v>0</v>
      </c>
      <c r="B205" t="s">
        <v>808</v>
      </c>
      <c r="C205" t="s">
        <v>855</v>
      </c>
      <c r="D205" t="s">
        <v>662</v>
      </c>
      <c r="E205" t="s">
        <v>856</v>
      </c>
    </row>
    <row r="206" spans="1:5">
      <c r="A206">
        <f>"PRACTICE-AU-[B] IS AUDIT INFORMATION PROTECTED FROM UNAUTHORIZED MODIFICATION?"</f>
        <v>0</v>
      </c>
      <c r="B206" t="s">
        <v>808</v>
      </c>
      <c r="C206" t="s">
        <v>855</v>
      </c>
      <c r="D206" t="s">
        <v>663</v>
      </c>
      <c r="E206" t="s">
        <v>879</v>
      </c>
    </row>
    <row r="207" spans="1:5">
      <c r="A207">
        <f>"PRACTICE-AU-[B] IS MANAGEMENT OF AUDIT LOGGING FUNCTIONALITY LIMITED TO THE DEFINED SUBSET OF PRIVILEGED USERS?"</f>
        <v>0</v>
      </c>
      <c r="B207" t="s">
        <v>808</v>
      </c>
      <c r="C207" t="s">
        <v>855</v>
      </c>
      <c r="D207" t="s">
        <v>664</v>
      </c>
      <c r="E207" t="s">
        <v>904</v>
      </c>
    </row>
    <row r="208" spans="1:5">
      <c r="A208">
        <f>"PRACTICE-AU-[B] IS THE CONTENT OF AUDIT RECORDS NEEDED TO SUPPORT MONITORING, ANALYSIS, INVESTIGATION, AND REPORTING OF UNLAWFUL OR UNAUTHORIZED SYSTEM ACTIVITY DEFINED?"</f>
        <v>0</v>
      </c>
      <c r="B208" t="s">
        <v>808</v>
      </c>
      <c r="C208" t="s">
        <v>855</v>
      </c>
      <c r="D208" t="s">
        <v>656</v>
      </c>
      <c r="E208" t="s">
        <v>834</v>
      </c>
    </row>
    <row r="209" spans="1:5">
      <c r="A209">
        <f>"PRACTICE-AU-[C] ARE AUDIT RECORDS CREATED (GENERATED)?"</f>
        <v>0</v>
      </c>
      <c r="B209" t="s">
        <v>808</v>
      </c>
      <c r="C209" t="s">
        <v>855</v>
      </c>
      <c r="D209" t="s">
        <v>656</v>
      </c>
      <c r="E209" t="s">
        <v>817</v>
      </c>
    </row>
    <row r="210" spans="1:5">
      <c r="A210">
        <f>"PRACTICE-AU-[C] ARE EVENT TYPES BEING LOGGED UPDATED BASED ON THE REVIEW?"</f>
        <v>0</v>
      </c>
      <c r="B210" t="s">
        <v>808</v>
      </c>
      <c r="C210" t="s">
        <v>855</v>
      </c>
      <c r="D210" t="s">
        <v>658</v>
      </c>
      <c r="E210" t="s">
        <v>832</v>
      </c>
    </row>
    <row r="211" spans="1:5">
      <c r="A211">
        <f>"PRACTICE-AU-[C] ARE IDENTIFIED PERSONNEL OR ROLES ALERTED IN THE EVENT OF AN AUDIT LOGGING PROCESS FAILURE?"</f>
        <v>0</v>
      </c>
      <c r="B211" t="s">
        <v>808</v>
      </c>
      <c r="C211" t="s">
        <v>855</v>
      </c>
      <c r="D211" t="s">
        <v>659</v>
      </c>
      <c r="E211" t="s">
        <v>819</v>
      </c>
    </row>
    <row r="212" spans="1:5">
      <c r="A212">
        <f>"PRACTICE-AU-[C] ARE INTERNAL SYSTEM CLOCKS USED TO GENERATE TIME STAMPS FOR AUDIT RECORDS COMPARED TO AND SYNCHRONIZED WITH THE SPECIFIED AUTHORITATIVE TIME SOURCE?"</f>
        <v>0</v>
      </c>
      <c r="B212" t="s">
        <v>808</v>
      </c>
      <c r="C212" t="s">
        <v>855</v>
      </c>
      <c r="D212" t="s">
        <v>662</v>
      </c>
      <c r="E212" t="s">
        <v>821</v>
      </c>
    </row>
    <row r="213" spans="1:5">
      <c r="A213">
        <f>"PRACTICE-AU-[C] IS AUDIT INFORMATION PROTECTED FROM UNAUTHORIZED DELETION?"</f>
        <v>0</v>
      </c>
      <c r="B213" t="s">
        <v>808</v>
      </c>
      <c r="C213" t="s">
        <v>855</v>
      </c>
      <c r="D213" t="s">
        <v>663</v>
      </c>
      <c r="E213" t="s">
        <v>894</v>
      </c>
    </row>
    <row r="214" spans="1:5">
      <c r="A214">
        <f>"PRACTICE-AU-[D] ARE AUDIT LOGGING TOOLS PROTECTED FROM UNAUTHORIZED ACCESS?"</f>
        <v>0</v>
      </c>
      <c r="B214" t="s">
        <v>808</v>
      </c>
      <c r="C214" t="s">
        <v>855</v>
      </c>
      <c r="D214" t="s">
        <v>663</v>
      </c>
      <c r="E214" t="s">
        <v>898</v>
      </c>
    </row>
    <row r="215" spans="1:5">
      <c r="A215">
        <f>"PRACTICE-AU-[D] DO AUDIT RECORDS, ONCE CREATED, CONTAIN THE DEFINED CONTENT?"</f>
        <v>0</v>
      </c>
      <c r="B215" t="s">
        <v>808</v>
      </c>
      <c r="C215" t="s">
        <v>855</v>
      </c>
      <c r="D215" t="s">
        <v>656</v>
      </c>
      <c r="E215" t="s">
        <v>827</v>
      </c>
    </row>
    <row r="216" spans="1:5">
      <c r="A216">
        <f>"PRACTICE-AU-[E] ARE AUDIT LOGGING TOOLS PROTECTED FROM UNAUTHORIZED MODIFICATION?"</f>
        <v>0</v>
      </c>
      <c r="B216" t="s">
        <v>808</v>
      </c>
      <c r="C216" t="s">
        <v>855</v>
      </c>
      <c r="D216" t="s">
        <v>663</v>
      </c>
      <c r="E216" t="s">
        <v>794</v>
      </c>
    </row>
    <row r="217" spans="1:5">
      <c r="A217">
        <f>"PRACTICE-AU-[E] ARE RETENTION REQUIREMENTS FOR AUDIT RECORDS DEFINED?"</f>
        <v>0</v>
      </c>
      <c r="B217" t="s">
        <v>808</v>
      </c>
      <c r="C217" t="s">
        <v>855</v>
      </c>
      <c r="D217" t="s">
        <v>656</v>
      </c>
      <c r="E217" t="s">
        <v>805</v>
      </c>
    </row>
    <row r="218" spans="1:5">
      <c r="A218">
        <f>"PRACTICE-AU-[F] ARE AUDIT LOGGING TOOLS PROTECTED FROM UNAUTHORIZED DELETION?"</f>
        <v>0</v>
      </c>
      <c r="B218" t="s">
        <v>808</v>
      </c>
      <c r="C218" t="s">
        <v>855</v>
      </c>
      <c r="D218" t="s">
        <v>663</v>
      </c>
      <c r="E218" t="s">
        <v>905</v>
      </c>
    </row>
    <row r="219" spans="1:5">
      <c r="A219">
        <f>"PRACTICE-AU-[F] ARE AUDIT RECORDS RETAINED AS DEFINED?"</f>
        <v>0</v>
      </c>
      <c r="B219" t="s">
        <v>808</v>
      </c>
      <c r="C219" t="s">
        <v>855</v>
      </c>
      <c r="D219" t="s">
        <v>656</v>
      </c>
      <c r="E219" t="s">
        <v>902</v>
      </c>
    </row>
    <row r="220" spans="1:5">
      <c r="A220">
        <f>"PRACTICE-CA-[A] ARE DEFICIENCIES AND VULNERABILITIES TO BE ADDRESSED BY THE PLAN OF ACTION IDENTIFIED?"</f>
        <v>0</v>
      </c>
      <c r="B220" t="s">
        <v>814</v>
      </c>
      <c r="C220" t="s">
        <v>855</v>
      </c>
      <c r="D220" t="s">
        <v>718</v>
      </c>
      <c r="E220" t="s">
        <v>902</v>
      </c>
    </row>
    <row r="221" spans="1:5">
      <c r="A221">
        <f>"PRACTICE-CA-[A] ARE SECURITY CONTROLS MONITORED ON AN ONGOING BASIS TO ENSURE THE CONTINUED EFFECTIVENESS OF THOSE CONTROLS?"</f>
        <v>0</v>
      </c>
      <c r="B221" t="s">
        <v>814</v>
      </c>
      <c r="C221" t="s">
        <v>855</v>
      </c>
      <c r="D221" t="s">
        <v>719</v>
      </c>
      <c r="E221" t="s">
        <v>791</v>
      </c>
    </row>
    <row r="222" spans="1:5">
      <c r="A222">
        <f>"PRACTICE-CA-[A] IS A SYSTEM SECURITY PLAN DEVELOPED?"</f>
        <v>0</v>
      </c>
      <c r="B222" t="s">
        <v>814</v>
      </c>
      <c r="C222" t="s">
        <v>855</v>
      </c>
      <c r="D222" t="s">
        <v>720</v>
      </c>
      <c r="E222" t="s">
        <v>807</v>
      </c>
    </row>
    <row r="223" spans="1:5">
      <c r="A223">
        <f>"PRACTICE-CA-[A] IS THE FREQUENCY OF SECURITY CONTROL ASSESSMENTS DEFINED?"</f>
        <v>0</v>
      </c>
      <c r="B223" t="s">
        <v>814</v>
      </c>
      <c r="C223" t="s">
        <v>855</v>
      </c>
      <c r="D223" t="s">
        <v>717</v>
      </c>
      <c r="E223" t="s">
        <v>869</v>
      </c>
    </row>
    <row r="224" spans="1:5">
      <c r="A224">
        <f>"PRACTICE-CA-[B] ARE SECURITY CONTROLS ASSESSED WITH THE DEFINED FREQUENCY TO DETERMINE IF THE CONTROLS ARE EFFECTIVE IN THEIR APPLICATION?"</f>
        <v>0</v>
      </c>
      <c r="B224" t="s">
        <v>814</v>
      </c>
      <c r="C224" t="s">
        <v>855</v>
      </c>
      <c r="D224" t="s">
        <v>717</v>
      </c>
      <c r="E224" t="s">
        <v>834</v>
      </c>
    </row>
    <row r="225" spans="1:5">
      <c r="A225">
        <f>"PRACTICE-CA-[B] IS A PLAN OF ACTION DEVELOPED TO CORRECT IDENTIFIED DEFICIENCIES AND REDUCE OR ELIMINATE IDENTIFIED VULNERABILITIES?"</f>
        <v>0</v>
      </c>
      <c r="B225" t="s">
        <v>814</v>
      </c>
      <c r="C225" t="s">
        <v>855</v>
      </c>
      <c r="D225" t="s">
        <v>718</v>
      </c>
      <c r="E225" t="s">
        <v>790</v>
      </c>
    </row>
    <row r="226" spans="1:5">
      <c r="A226">
        <f>"PRACTICE-CA-[B] IS THE SYSTEM BOUNDARY DESCRIBED AND DOCUMENTED IN THE SYSTEM SECURITY PLAN?"</f>
        <v>0</v>
      </c>
      <c r="B226" t="s">
        <v>814</v>
      </c>
      <c r="C226" t="s">
        <v>855</v>
      </c>
      <c r="D226" t="s">
        <v>720</v>
      </c>
      <c r="E226" t="s">
        <v>832</v>
      </c>
    </row>
    <row r="227" spans="1:5">
      <c r="A227">
        <f>"PRACTICE-CA-[C] IS THE PLAN OF ACTION IMPLEMENTED TO CORRECT IDENTIFIED DEFICIENCIES AND REDUCE OR ELIMINATE IDENTIFIED VULNERABILITIES?"</f>
        <v>0</v>
      </c>
      <c r="B227" t="s">
        <v>814</v>
      </c>
      <c r="C227" t="s">
        <v>855</v>
      </c>
      <c r="D227" t="s">
        <v>718</v>
      </c>
      <c r="E227" t="s">
        <v>831</v>
      </c>
    </row>
    <row r="228" spans="1:5">
      <c r="A228">
        <f>"PRACTICE-CA-[C] IS THE SYSTEM ENVIRONMENT OF OPERATION DESCRIBED AND DOCUMENTED IN THE SYSTEM SECURITY PLAN?"</f>
        <v>0</v>
      </c>
      <c r="B228" t="s">
        <v>814</v>
      </c>
      <c r="C228" t="s">
        <v>855</v>
      </c>
      <c r="D228" t="s">
        <v>720</v>
      </c>
      <c r="E228" t="s">
        <v>813</v>
      </c>
    </row>
    <row r="229" spans="1:5">
      <c r="A229">
        <f>"PRACTICE-CA-[D] ARE THE SECURITY REQUIREMENTS IDENTIFIED AND APPROVED BY THE DESIGNATED AUTHORITY AS NON-APPLICABLE IDENTIFIED?"</f>
        <v>0</v>
      </c>
      <c r="B229" t="s">
        <v>814</v>
      </c>
      <c r="C229" t="s">
        <v>855</v>
      </c>
      <c r="D229" t="s">
        <v>720</v>
      </c>
      <c r="E229" t="s">
        <v>822</v>
      </c>
    </row>
    <row r="230" spans="1:5">
      <c r="A230">
        <f>"PRACTICE-CA-[E] IS THE METHOD OF SECURITY REQUIREMENT IMPLEMENTATION DESCRIBED AND DOCUMENTED IN THE SYSTEM SECURITY PLAN?"</f>
        <v>0</v>
      </c>
      <c r="B230" t="s">
        <v>814</v>
      </c>
      <c r="C230" t="s">
        <v>855</v>
      </c>
      <c r="D230" t="s">
        <v>720</v>
      </c>
      <c r="E230" t="s">
        <v>843</v>
      </c>
    </row>
    <row r="231" spans="1:5">
      <c r="A231">
        <f>"PRACTICE-CA-[F] IS THE RELATIONSHIP WITH OR CONNECTION TO OTHER SYSTEMS DESCRIBED AND DOCUMENTED IN THE SYSTEM SECURITY PLAN?"</f>
        <v>0</v>
      </c>
      <c r="B231" t="s">
        <v>814</v>
      </c>
      <c r="C231" t="s">
        <v>855</v>
      </c>
      <c r="D231" t="s">
        <v>720</v>
      </c>
      <c r="E231" t="s">
        <v>803</v>
      </c>
    </row>
    <row r="232" spans="1:5">
      <c r="A232">
        <f>"PRACTICE-CA-[G] IS THE FREQUENCY TO UPDATE THE SYSTEM SECURITY PLAN DEFINED?"</f>
        <v>0</v>
      </c>
      <c r="B232" t="s">
        <v>814</v>
      </c>
      <c r="C232" t="s">
        <v>855</v>
      </c>
      <c r="D232" t="s">
        <v>720</v>
      </c>
      <c r="E232" t="s">
        <v>835</v>
      </c>
    </row>
    <row r="233" spans="1:5">
      <c r="A233">
        <f>"PRACTICE-CA-[H] IS THE SYSTEM SECURITY PLAN UPDATED WITH THE DEFINED FREQUENCY?"</f>
        <v>0</v>
      </c>
      <c r="B233" t="s">
        <v>814</v>
      </c>
      <c r="C233" t="s">
        <v>855</v>
      </c>
      <c r="D233" t="s">
        <v>720</v>
      </c>
      <c r="E233" t="s">
        <v>819</v>
      </c>
    </row>
    <row r="234" spans="1:5">
      <c r="A234">
        <f>"PRACTICE-CM-[A] ARE CHANGES TO THE SYSTEM TRACKED?"</f>
        <v>0</v>
      </c>
      <c r="B234" t="s">
        <v>818</v>
      </c>
      <c r="C234" t="s">
        <v>855</v>
      </c>
      <c r="D234" t="s">
        <v>670</v>
      </c>
      <c r="E234" t="s">
        <v>828</v>
      </c>
    </row>
    <row r="235" spans="1:5">
      <c r="A235">
        <f>"PRACTICE-CM-[A] ARE ESSENTIAL PROGRAMS DEFINED?"</f>
        <v>0</v>
      </c>
      <c r="B235" t="s">
        <v>818</v>
      </c>
      <c r="C235" t="s">
        <v>855</v>
      </c>
      <c r="D235" t="s">
        <v>674</v>
      </c>
      <c r="E235" t="s">
        <v>906</v>
      </c>
    </row>
    <row r="236" spans="1:5">
      <c r="A236">
        <f>"PRACTICE-CM-[A] ARE PHYSICAL ACCESS RESTRICTIONS ASSOCIATED WITH CHANGES TO THE SYSTEM DEFINED?"</f>
        <v>0</v>
      </c>
      <c r="B236" t="s">
        <v>818</v>
      </c>
      <c r="C236" t="s">
        <v>855</v>
      </c>
      <c r="D236" t="s">
        <v>672</v>
      </c>
      <c r="E236" t="s">
        <v>829</v>
      </c>
    </row>
    <row r="237" spans="1:5">
      <c r="A237">
        <f>"PRACTICE-CM-[A] ARE SECURITY CONFIGURATION SETTINGS FOR INFORMATION TECHNOLOGY PRODUCTS EMPLOYED IN THE SYSTEM ESTABLISHED AND INCLUDED IN THE BASELINE CONFIGURATION?"</f>
        <v>0</v>
      </c>
      <c r="B237" t="s">
        <v>818</v>
      </c>
      <c r="C237" t="s">
        <v>855</v>
      </c>
      <c r="D237" t="s">
        <v>669</v>
      </c>
      <c r="E237" t="s">
        <v>825</v>
      </c>
    </row>
    <row r="238" spans="1:5">
      <c r="A238">
        <f>"PRACTICE-CM-[A] ARE ESSENTIAL SYSTEM CAPABILITIES DEFINED BASED ON THE PRINCIPLE OF LEAST FUNCTIONALITY?"</f>
        <v>0</v>
      </c>
      <c r="B238" t="s">
        <v>818</v>
      </c>
      <c r="C238" t="s">
        <v>855</v>
      </c>
      <c r="D238" t="s">
        <v>673</v>
      </c>
      <c r="E238" t="s">
        <v>903</v>
      </c>
    </row>
    <row r="239" spans="1:5">
      <c r="A239">
        <f>"PRACTICE-CM-[A] IS A BASELINE CONFIGURATION ESTABLISHED?"</f>
        <v>0</v>
      </c>
      <c r="B239" t="s">
        <v>818</v>
      </c>
      <c r="C239" t="s">
        <v>855</v>
      </c>
      <c r="D239" t="s">
        <v>668</v>
      </c>
      <c r="E239" t="s">
        <v>869</v>
      </c>
    </row>
    <row r="240" spans="1:5">
      <c r="A240">
        <f>"PRACTICE-CM-[A] IS A POLICY FOR CONTROLLING THE INSTALLATION OF SOFTWARE BY USERS ESTABLISHED?"</f>
        <v>0</v>
      </c>
      <c r="B240" t="s">
        <v>818</v>
      </c>
      <c r="C240" t="s">
        <v>855</v>
      </c>
      <c r="D240" t="s">
        <v>676</v>
      </c>
      <c r="E240" t="s">
        <v>850</v>
      </c>
    </row>
    <row r="241" spans="1:5">
      <c r="A241">
        <f>"PRACTICE-CM-[A] IS A POLICY SPECIFYING WHETHER WHITELISTING OR BLACKLISTING IS TO BE IMPLEMENTED SPECIFIED?"</f>
        <v>0</v>
      </c>
      <c r="B241" t="s">
        <v>818</v>
      </c>
      <c r="C241" t="s">
        <v>855</v>
      </c>
      <c r="D241" t="s">
        <v>675</v>
      </c>
      <c r="E241" t="s">
        <v>865</v>
      </c>
    </row>
    <row r="242" spans="1:5">
      <c r="A242">
        <f>"PRACTICE-CM-[A] IS THE SECURITY IMPACT OF CHANGES TO THE SYSTEM ANALYZED PRIOR TO IMPLEMENTATION?"</f>
        <v>0</v>
      </c>
      <c r="B242" t="s">
        <v>818</v>
      </c>
      <c r="C242" t="s">
        <v>855</v>
      </c>
      <c r="D242" t="s">
        <v>671</v>
      </c>
      <c r="E242" t="s">
        <v>835</v>
      </c>
    </row>
    <row r="243" spans="1:5">
      <c r="A243">
        <f>"PRACTICE-CM-[B] ARE CHANGES TO THE SYSTEM REVIEWED?"</f>
        <v>0</v>
      </c>
      <c r="B243" t="s">
        <v>818</v>
      </c>
      <c r="C243" t="s">
        <v>855</v>
      </c>
      <c r="D243" t="s">
        <v>670</v>
      </c>
      <c r="E243" t="s">
        <v>807</v>
      </c>
    </row>
    <row r="244" spans="1:5">
      <c r="A244">
        <f>"PRACTICE-CM-[B] ARE PHYSICAL ACCESS RESTRICTIONS ASSOCIATED WITH CHANGES TO THE SYSTEM DOCUMENTED?"</f>
        <v>0</v>
      </c>
      <c r="B244" t="s">
        <v>818</v>
      </c>
      <c r="C244" t="s">
        <v>855</v>
      </c>
      <c r="D244" t="s">
        <v>672</v>
      </c>
      <c r="E244" t="s">
        <v>842</v>
      </c>
    </row>
    <row r="245" spans="1:5">
      <c r="A245">
        <f>"PRACTICE-CM-[B] ARE SECURITY CONFIGURATION SETTINGS FOR INFORMATION TECHNOLOGY PRODUCTS EMPLOYED IN THE SYSTEM ENFORCED?"</f>
        <v>0</v>
      </c>
      <c r="B245" t="s">
        <v>818</v>
      </c>
      <c r="C245" t="s">
        <v>855</v>
      </c>
      <c r="D245" t="s">
        <v>669</v>
      </c>
      <c r="E245" t="s">
        <v>806</v>
      </c>
    </row>
    <row r="246" spans="1:5">
      <c r="A246">
        <f>"PRACTICE-CM-[B] DOES THE BASELINE CONFIGURATION INCLUDE HARDWARE, SOFTWARE, FIRMWARE, AND DOCUMENTATION?"</f>
        <v>0</v>
      </c>
      <c r="B246" t="s">
        <v>818</v>
      </c>
      <c r="C246" t="s">
        <v>855</v>
      </c>
      <c r="D246" t="s">
        <v>668</v>
      </c>
      <c r="E246" t="s">
        <v>834</v>
      </c>
    </row>
    <row r="247" spans="1:5">
      <c r="A247">
        <f>"PRACTICE-CM-[B] IS INSTALLATION OF SOFTWARE BY USERS CONTROLLED BASED ON THE ESTABLISHED POLICY?"</f>
        <v>0</v>
      </c>
      <c r="B247" t="s">
        <v>818</v>
      </c>
      <c r="C247" t="s">
        <v>855</v>
      </c>
      <c r="D247" t="s">
        <v>676</v>
      </c>
      <c r="E247" t="s">
        <v>868</v>
      </c>
    </row>
    <row r="248" spans="1:5">
      <c r="A248">
        <f>"PRACTICE-CM-[B] IS THE SOFTWARE ALLOWED TO EXECUTE UNDER WHITELISTING OR DENIED USE UNDER BLACKLISTING SPECIFIED?"</f>
        <v>0</v>
      </c>
      <c r="B248" t="s">
        <v>818</v>
      </c>
      <c r="C248" t="s">
        <v>855</v>
      </c>
      <c r="D248" t="s">
        <v>675</v>
      </c>
      <c r="E248" t="s">
        <v>886</v>
      </c>
    </row>
    <row r="249" spans="1:5">
      <c r="A249">
        <f>"PRACTICE-CM-[B] IS THE SYSTEM CONFIGURED TO PROVIDE ONLY THE DEFINED ESSENTIAL CAPABILITIES?"</f>
        <v>0</v>
      </c>
      <c r="B249" t="s">
        <v>818</v>
      </c>
      <c r="C249" t="s">
        <v>855</v>
      </c>
      <c r="D249" t="s">
        <v>673</v>
      </c>
      <c r="E249" t="s">
        <v>856</v>
      </c>
    </row>
    <row r="250" spans="1:5">
      <c r="A250">
        <f>"PRACTICE-CM-[B] IS THE USE OF NONESSENTIAL PROGRAMS DEFINED?"</f>
        <v>0</v>
      </c>
      <c r="B250" t="s">
        <v>818</v>
      </c>
      <c r="C250" t="s">
        <v>855</v>
      </c>
      <c r="D250" t="s">
        <v>674</v>
      </c>
      <c r="E250" t="s">
        <v>851</v>
      </c>
    </row>
    <row r="251" spans="1:5">
      <c r="A251">
        <f>"PRACTICE-CM-[C] ARE CHANGES TO THE SYSTEM APPROVED OR DISAPPROVED?"</f>
        <v>0</v>
      </c>
      <c r="B251" t="s">
        <v>818</v>
      </c>
      <c r="C251" t="s">
        <v>855</v>
      </c>
      <c r="D251" t="s">
        <v>670</v>
      </c>
      <c r="E251" t="s">
        <v>832</v>
      </c>
    </row>
    <row r="252" spans="1:5">
      <c r="A252">
        <f>"PRACTICE-CM-[C] ARE PHYSICAL ACCESS RESTRICTIONS ASSOCIATED WITH CHANGES TO THE SYSTEM APPROVED?"</f>
        <v>0</v>
      </c>
      <c r="B252" t="s">
        <v>818</v>
      </c>
      <c r="C252" t="s">
        <v>855</v>
      </c>
      <c r="D252" t="s">
        <v>672</v>
      </c>
      <c r="E252" t="s">
        <v>838</v>
      </c>
    </row>
    <row r="253" spans="1:5">
      <c r="A253">
        <f>"PRACTICE-CM-[C] IS INSTALLATION OF SOFTWARE BY USERS MONITORED?"</f>
        <v>0</v>
      </c>
      <c r="B253" t="s">
        <v>818</v>
      </c>
      <c r="C253" t="s">
        <v>855</v>
      </c>
      <c r="D253" t="s">
        <v>676</v>
      </c>
      <c r="E253" t="s">
        <v>888</v>
      </c>
    </row>
    <row r="254" spans="1:5">
      <c r="A254">
        <f>"PRACTICE-CM-[C] IS THE BASELINE CONFIGURATION MAINTAINED (REVIEWED AND UPDATED) THROUGHOUT THE SYSTEM DEVELOPMENT LIFE CYCLE?"</f>
        <v>0</v>
      </c>
      <c r="B254" t="s">
        <v>818</v>
      </c>
      <c r="C254" t="s">
        <v>855</v>
      </c>
      <c r="D254" t="s">
        <v>668</v>
      </c>
      <c r="E254" t="s">
        <v>817</v>
      </c>
    </row>
    <row r="255" spans="1:5">
      <c r="A255">
        <f>"PRACTICE-CM-[C] IS THE USE OF NONESSENTIAL PROGRAMS RESTRICTED, DISABLED, OR PREVENTED AS DEFINED?"</f>
        <v>0</v>
      </c>
      <c r="B255" t="s">
        <v>818</v>
      </c>
      <c r="C255" t="s">
        <v>855</v>
      </c>
      <c r="D255" t="s">
        <v>674</v>
      </c>
      <c r="E255" t="s">
        <v>879</v>
      </c>
    </row>
    <row r="256" spans="1:5">
      <c r="A256">
        <f>"PRACTICE-CM-[C] IS WHITELISTING TO ALLOW THE EXECUTION OF AUTHORIZED SOFTWARE OR BLACKLISTING TO PREVENT THE USE OF UNAUTHORIZED SOFTWARE IMPLEMENTED AS SPECIFIED?"</f>
        <v>0</v>
      </c>
      <c r="B256" t="s">
        <v>818</v>
      </c>
      <c r="C256" t="s">
        <v>855</v>
      </c>
      <c r="D256" t="s">
        <v>675</v>
      </c>
      <c r="E256" t="s">
        <v>852</v>
      </c>
    </row>
    <row r="257" spans="1:5">
      <c r="A257">
        <f>"PRACTICE-CM-[D] ARE CHANGES TO THE SYSTEM LOGGED?"</f>
        <v>0</v>
      </c>
      <c r="B257" t="s">
        <v>818</v>
      </c>
      <c r="C257" t="s">
        <v>855</v>
      </c>
      <c r="D257" t="s">
        <v>670</v>
      </c>
      <c r="E257" t="s">
        <v>813</v>
      </c>
    </row>
    <row r="258" spans="1:5">
      <c r="A258">
        <f>"PRACTICE-CM-[D] ARE ESSENTIAL FUNCTIONS DEFINED?"</f>
        <v>0</v>
      </c>
      <c r="B258" t="s">
        <v>818</v>
      </c>
      <c r="C258" t="s">
        <v>855</v>
      </c>
      <c r="D258" t="s">
        <v>674</v>
      </c>
      <c r="E258" t="s">
        <v>894</v>
      </c>
    </row>
    <row r="259" spans="1:5">
      <c r="A259">
        <f>"PRACTICE-CM-[D] ARE PHYSICAL ACCESS RESTRICTIONS ASSOCIATED WITH CHANGES TO THE SYSTEM ENFORCED?"</f>
        <v>0</v>
      </c>
      <c r="B259" t="s">
        <v>818</v>
      </c>
      <c r="C259" t="s">
        <v>855</v>
      </c>
      <c r="D259" t="s">
        <v>672</v>
      </c>
      <c r="E259" t="s">
        <v>785</v>
      </c>
    </row>
    <row r="260" spans="1:5">
      <c r="A260">
        <f>"PRACTICE-CM-[D] IS A SYSTEM INVENTORY ESTABLISHED?"</f>
        <v>0</v>
      </c>
      <c r="B260" t="s">
        <v>818</v>
      </c>
      <c r="C260" t="s">
        <v>855</v>
      </c>
      <c r="D260" t="s">
        <v>668</v>
      </c>
      <c r="E260" t="s">
        <v>827</v>
      </c>
    </row>
    <row r="261" spans="1:5">
      <c r="A261">
        <f>"PRACTICE-CM-[E] ARE LOGICAL ACCESS RESTRICTIONS ASSOCIATED WITH CHANGES TO THE SYSTEM DEFINED?"</f>
        <v>0</v>
      </c>
      <c r="B261" t="s">
        <v>818</v>
      </c>
      <c r="C261" t="s">
        <v>855</v>
      </c>
      <c r="D261" t="s">
        <v>672</v>
      </c>
      <c r="E261" t="s">
        <v>826</v>
      </c>
    </row>
    <row r="262" spans="1:5">
      <c r="A262">
        <f>"PRACTICE-CM-[E] DOES THE SYSTEM INVENTORY INCLUDE HARDWARE, SOFTWARE, FIRMWARE, AND DOCUMENTATION?"</f>
        <v>0</v>
      </c>
      <c r="B262" t="s">
        <v>818</v>
      </c>
      <c r="C262" t="s">
        <v>855</v>
      </c>
      <c r="D262" t="s">
        <v>668</v>
      </c>
      <c r="E262" t="s">
        <v>805</v>
      </c>
    </row>
    <row r="263" spans="1:5">
      <c r="A263">
        <f>"PRACTICE-CM-[E] IS THE USE OF NONESSENTIAL FUNCTIONS DEFINED?"</f>
        <v>0</v>
      </c>
      <c r="B263" t="s">
        <v>818</v>
      </c>
      <c r="C263" t="s">
        <v>855</v>
      </c>
      <c r="D263" t="s">
        <v>674</v>
      </c>
      <c r="E263" t="s">
        <v>898</v>
      </c>
    </row>
    <row r="264" spans="1:5">
      <c r="A264">
        <f>"PRACTICE-CM-[F] ARE LOGICAL ACCESS RESTRICTIONS ASSOCIATED WITH CHANGES TO THE SYSTEM DOCUMENTED?"</f>
        <v>0</v>
      </c>
      <c r="B264" t="s">
        <v>818</v>
      </c>
      <c r="C264" t="s">
        <v>855</v>
      </c>
      <c r="D264" t="s">
        <v>672</v>
      </c>
      <c r="E264" t="s">
        <v>907</v>
      </c>
    </row>
    <row r="265" spans="1:5">
      <c r="A265">
        <f>"PRACTICE-CM-[F] IS THE INVENTORY MAINTAINED (REVIEWED AND UPDATED) THROUGHOUT THE SYSTEM DEVELOPMENT LIFE CYCLE?"</f>
        <v>0</v>
      </c>
      <c r="B265" t="s">
        <v>818</v>
      </c>
      <c r="C265" t="s">
        <v>855</v>
      </c>
      <c r="D265" t="s">
        <v>668</v>
      </c>
      <c r="E265" t="s">
        <v>902</v>
      </c>
    </row>
    <row r="266" spans="1:5">
      <c r="A266">
        <f>"PRACTICE-CM-[F] IS THE USE OF NONESSENTIAL FUNCTIONS RESTRICTED, DISABLED, OR PREVENTED AS DEFINED?"</f>
        <v>0</v>
      </c>
      <c r="B266" t="s">
        <v>818</v>
      </c>
      <c r="C266" t="s">
        <v>855</v>
      </c>
      <c r="D266" t="s">
        <v>674</v>
      </c>
      <c r="E266" t="s">
        <v>794</v>
      </c>
    </row>
    <row r="267" spans="1:5">
      <c r="A267">
        <f>"PRACTICE-CM-[G] ARE ESSENTIAL PORTS DEFINED?"</f>
        <v>0</v>
      </c>
      <c r="B267" t="s">
        <v>818</v>
      </c>
      <c r="C267" t="s">
        <v>855</v>
      </c>
      <c r="D267" t="s">
        <v>674</v>
      </c>
      <c r="E267" t="s">
        <v>905</v>
      </c>
    </row>
    <row r="268" spans="1:5">
      <c r="A268">
        <f>"PRACTICE-CM-[G] ARE LOGICAL ACCESS RESTRICTIONS ASSOCIATED WITH CHANGES TO THE SYSTEM APPROVED?"</f>
        <v>0</v>
      </c>
      <c r="B268" t="s">
        <v>818</v>
      </c>
      <c r="C268" t="s">
        <v>855</v>
      </c>
      <c r="D268" t="s">
        <v>672</v>
      </c>
      <c r="E268" t="s">
        <v>837</v>
      </c>
    </row>
    <row r="269" spans="1:5">
      <c r="A269">
        <f>"PRACTICE-CM-[H] ARE LOGICAL ACCESS RESTRICTIONS ASSOCIATED WITH CHANGES TO THE SYSTEM ENFORCED?"</f>
        <v>0</v>
      </c>
      <c r="B269" t="s">
        <v>818</v>
      </c>
      <c r="C269" t="s">
        <v>855</v>
      </c>
      <c r="D269" t="s">
        <v>672</v>
      </c>
      <c r="E269" t="s">
        <v>884</v>
      </c>
    </row>
    <row r="270" spans="1:5">
      <c r="A270">
        <f>"PRACTICE-CM-[H] IS THE USE OF NONESSENTIAL PORTS DEFINED?"</f>
        <v>0</v>
      </c>
      <c r="B270" t="s">
        <v>818</v>
      </c>
      <c r="C270" t="s">
        <v>855</v>
      </c>
      <c r="D270" t="s">
        <v>674</v>
      </c>
      <c r="E270" t="s">
        <v>811</v>
      </c>
    </row>
    <row r="271" spans="1:5">
      <c r="A271">
        <f>"PRACTICE-CM-[I] IS THE USE OF NONESSENTIAL PORTS RESTRICTED, DISABLED, OR PREVENTED AS DEFINED?"</f>
        <v>0</v>
      </c>
      <c r="B271" t="s">
        <v>818</v>
      </c>
      <c r="C271" t="s">
        <v>855</v>
      </c>
      <c r="D271" t="s">
        <v>674</v>
      </c>
      <c r="E271" t="s">
        <v>857</v>
      </c>
    </row>
    <row r="272" spans="1:5">
      <c r="A272">
        <f>"PRACTICE-CM-[J] ARE ESSENTIAL PROTOCOLS DEFINED?"</f>
        <v>0</v>
      </c>
      <c r="B272" t="s">
        <v>818</v>
      </c>
      <c r="C272" t="s">
        <v>855</v>
      </c>
      <c r="D272" t="s">
        <v>674</v>
      </c>
      <c r="E272" t="s">
        <v>873</v>
      </c>
    </row>
    <row r="273" spans="1:5">
      <c r="A273">
        <f>"PRACTICE-CM-[K] IS THE USE OF NONESSENTIAL PROTOCOLS DEFINED?"</f>
        <v>0</v>
      </c>
      <c r="B273" t="s">
        <v>818</v>
      </c>
      <c r="C273" t="s">
        <v>855</v>
      </c>
      <c r="D273" t="s">
        <v>674</v>
      </c>
      <c r="E273" t="s">
        <v>787</v>
      </c>
    </row>
    <row r="274" spans="1:5">
      <c r="A274">
        <f>"PRACTICE-CM-[L] IS THE USE OF NONESSENTIAL PROTOCOLS RESTRICTED, DISABLED, OR PREVENTED AS DEFINED?"</f>
        <v>0</v>
      </c>
      <c r="B274" t="s">
        <v>818</v>
      </c>
      <c r="C274" t="s">
        <v>855</v>
      </c>
      <c r="D274" t="s">
        <v>674</v>
      </c>
      <c r="E274" t="s">
        <v>904</v>
      </c>
    </row>
    <row r="275" spans="1:5">
      <c r="A275">
        <f>"PRACTICE-CM-[M] ARE ESSENTIAL SERVICES DEFINED?"</f>
        <v>0</v>
      </c>
      <c r="B275" t="s">
        <v>818</v>
      </c>
      <c r="C275" t="s">
        <v>855</v>
      </c>
      <c r="D275" t="s">
        <v>674</v>
      </c>
      <c r="E275" t="s">
        <v>810</v>
      </c>
    </row>
    <row r="276" spans="1:5">
      <c r="A276">
        <f>"PRACTICE-CM-[N] IS THE USE OF NONESSENTIAL SERVICES DEFINED?"</f>
        <v>0</v>
      </c>
      <c r="B276" t="s">
        <v>818</v>
      </c>
      <c r="C276" t="s">
        <v>855</v>
      </c>
      <c r="D276" t="s">
        <v>674</v>
      </c>
      <c r="E276" t="s">
        <v>859</v>
      </c>
    </row>
    <row r="277" spans="1:5">
      <c r="A277">
        <f>"PRACTICE-CM-[O] IS THE USE OF NONESSENTIAL SERVICES RESTRICTED, DISABLED, OR PREVENTED AS DEFINED?"</f>
        <v>0</v>
      </c>
      <c r="B277" t="s">
        <v>818</v>
      </c>
      <c r="C277" t="s">
        <v>855</v>
      </c>
      <c r="D277" t="s">
        <v>674</v>
      </c>
      <c r="E277" t="s">
        <v>824</v>
      </c>
    </row>
    <row r="278" spans="1:5">
      <c r="A278">
        <f>"PRACTICE-IA-[A] ARE PASSWORD COMPLEXITY REQUIREMENTS DEFINED?"</f>
        <v>0</v>
      </c>
      <c r="B278" t="s">
        <v>823</v>
      </c>
      <c r="C278" t="s">
        <v>855</v>
      </c>
      <c r="D278" t="s">
        <v>685</v>
      </c>
      <c r="E278" t="s">
        <v>851</v>
      </c>
    </row>
    <row r="279" spans="1:5">
      <c r="A279">
        <f>"PRACTICE-IA-[A] ARE PASSWORDS CRYPTOGRAPHICALLY PROTECTED IN STORAGE?"</f>
        <v>0</v>
      </c>
      <c r="B279" t="s">
        <v>823</v>
      </c>
      <c r="C279" t="s">
        <v>855</v>
      </c>
      <c r="D279" t="s">
        <v>679</v>
      </c>
      <c r="E279" t="s">
        <v>816</v>
      </c>
    </row>
    <row r="280" spans="1:5">
      <c r="A280">
        <f>"PRACTICE-IA-[A] ARE PRIVILEGED ACCOUNTS IDENTIFIED?"</f>
        <v>0</v>
      </c>
      <c r="B280" t="s">
        <v>823</v>
      </c>
      <c r="C280" t="s">
        <v>855</v>
      </c>
      <c r="D280" t="s">
        <v>681</v>
      </c>
      <c r="E280" t="s">
        <v>835</v>
      </c>
    </row>
    <row r="281" spans="1:5">
      <c r="A281">
        <f>"PRACTICE-IA-[A] ARE REPLAY-RESISTANT AUTHENTICATION MECHANISMS IMPLEMENTED FOR NETWORK ACCOUNT ACCESS TO PRIVILEGED AND NON-PRIVILEGED ACCOUNTS?"</f>
        <v>0</v>
      </c>
      <c r="B281" t="s">
        <v>823</v>
      </c>
      <c r="C281" t="s">
        <v>855</v>
      </c>
      <c r="D281" t="s">
        <v>682</v>
      </c>
      <c r="E281" t="s">
        <v>785</v>
      </c>
    </row>
    <row r="282" spans="1:5">
      <c r="A282">
        <f>"PRACTICE-IA-[A] ARE SYSTEM USERS IDENTIFIED?"</f>
        <v>0</v>
      </c>
      <c r="B282" t="s">
        <v>823</v>
      </c>
      <c r="C282" t="s">
        <v>855</v>
      </c>
      <c r="D282" t="s">
        <v>677</v>
      </c>
      <c r="E282" t="s">
        <v>869</v>
      </c>
    </row>
    <row r="283" spans="1:5">
      <c r="A283">
        <f>"PRACTICE-IA-[A] IS A PERIOD OF INACTIVITY AFTER WHICH AN IDENTIFIER IS DISABLED DEFINED?"</f>
        <v>0</v>
      </c>
      <c r="B283" t="s">
        <v>823</v>
      </c>
      <c r="C283" t="s">
        <v>855</v>
      </c>
      <c r="D283" t="s">
        <v>684</v>
      </c>
      <c r="E283" t="s">
        <v>856</v>
      </c>
    </row>
    <row r="284" spans="1:5">
      <c r="A284">
        <f>"PRACTICE-IA-[A] IS A PERIOD WITHIN WHICH IDENTIFIERS CANNOT BE REUSED DEFINED?"</f>
        <v>0</v>
      </c>
      <c r="B284" t="s">
        <v>823</v>
      </c>
      <c r="C284" t="s">
        <v>855</v>
      </c>
      <c r="D284" t="s">
        <v>683</v>
      </c>
      <c r="E284" t="s">
        <v>884</v>
      </c>
    </row>
    <row r="285" spans="1:5">
      <c r="A285">
        <f>"PRACTICE-IA-[A] IS AN IMMEDIATE CHANGE TO A PERMANENT PASSWORD REQUIRED WHEN A TEMPORARY PASSWORD IS USED FOR SYSTEM LOGON?"</f>
        <v>0</v>
      </c>
      <c r="B285" t="s">
        <v>823</v>
      </c>
      <c r="C285" t="s">
        <v>855</v>
      </c>
      <c r="D285" t="s">
        <v>687</v>
      </c>
      <c r="E285" t="s">
        <v>859</v>
      </c>
    </row>
    <row r="286" spans="1:5">
      <c r="A286">
        <f>"PRACTICE-IA-[A] IS AUTHENTICATION INFORMATION OBSCURED DURING THE AUTHENTICATION PROCESS?"</f>
        <v>0</v>
      </c>
      <c r="B286" t="s">
        <v>823</v>
      </c>
      <c r="C286" t="s">
        <v>855</v>
      </c>
      <c r="D286" t="s">
        <v>680</v>
      </c>
      <c r="E286" t="s">
        <v>813</v>
      </c>
    </row>
    <row r="287" spans="1:5">
      <c r="A287">
        <f>"PRACTICE-IA-[A] IS THE IDENTITY OF EACH USER AUTHENTICATED OR VERIFIED AS A PREREQUISITE TO SYSTEM ACCESS?"</f>
        <v>0</v>
      </c>
      <c r="B287" t="s">
        <v>823</v>
      </c>
      <c r="C287" t="s">
        <v>855</v>
      </c>
      <c r="D287" t="s">
        <v>678</v>
      </c>
      <c r="E287" t="s">
        <v>790</v>
      </c>
    </row>
    <row r="288" spans="1:5">
      <c r="A288">
        <f>"PRACTICE-IA-[A] IS THE NUMBER OF GENERATIONS DURING WHICH A PASSWORD CANNOT BE REUSED SPECIFIED?"</f>
        <v>0</v>
      </c>
      <c r="B288" t="s">
        <v>823</v>
      </c>
      <c r="C288" t="s">
        <v>855</v>
      </c>
      <c r="D288" t="s">
        <v>686</v>
      </c>
      <c r="E288" t="s">
        <v>857</v>
      </c>
    </row>
    <row r="289" spans="1:5">
      <c r="A289">
        <f>"PRACTICE-IA-[B] ARE IDENTIFIERS DISABLED AFTER THE DEFINED PERIOD OF INACTIVITY?"</f>
        <v>0</v>
      </c>
      <c r="B289" t="s">
        <v>823</v>
      </c>
      <c r="C289" t="s">
        <v>855</v>
      </c>
      <c r="D289" t="s">
        <v>684</v>
      </c>
      <c r="E289" t="s">
        <v>821</v>
      </c>
    </row>
    <row r="290" spans="1:5">
      <c r="A290">
        <f>"PRACTICE-IA-[B] ARE PASSWORD CHANGE OF CHARACTER REQUIREMENTS DEFINED?"</f>
        <v>0</v>
      </c>
      <c r="B290" t="s">
        <v>823</v>
      </c>
      <c r="C290" t="s">
        <v>855</v>
      </c>
      <c r="D290" t="s">
        <v>685</v>
      </c>
      <c r="E290" t="s">
        <v>879</v>
      </c>
    </row>
    <row r="291" spans="1:5">
      <c r="A291">
        <f>"PRACTICE-IA-[B] ARE PASSWORDS CRYPTOGRAPHICALLY PROTECTED IN TRANSIT?"</f>
        <v>0</v>
      </c>
      <c r="B291" t="s">
        <v>823</v>
      </c>
      <c r="C291" t="s">
        <v>855</v>
      </c>
      <c r="D291" t="s">
        <v>679</v>
      </c>
      <c r="E291" t="s">
        <v>839</v>
      </c>
    </row>
    <row r="292" spans="1:5">
      <c r="A292">
        <f>"PRACTICE-IA-[B] ARE PROCESSES ACTING ON BEHALF OF USERS IDENTIFIED?"</f>
        <v>0</v>
      </c>
      <c r="B292" t="s">
        <v>823</v>
      </c>
      <c r="C292" t="s">
        <v>855</v>
      </c>
      <c r="D292" t="s">
        <v>677</v>
      </c>
      <c r="E292" t="s">
        <v>834</v>
      </c>
    </row>
    <row r="293" spans="1:5">
      <c r="A293">
        <f>"PRACTICE-IA-[B] IS MULTIFACTOR AUTHENTICATION IMPLEMENTED FOR LOCAL ACCESS TO PRIVILEGED ACCOUNTS?"</f>
        <v>0</v>
      </c>
      <c r="B293" t="s">
        <v>823</v>
      </c>
      <c r="C293" t="s">
        <v>855</v>
      </c>
      <c r="D293" t="s">
        <v>681</v>
      </c>
      <c r="E293" t="s">
        <v>819</v>
      </c>
    </row>
    <row r="294" spans="1:5">
      <c r="A294">
        <f>"PRACTICE-IA-[B] IS REUSE OF IDENTIFIERS PREVENTED WITHIN THE DEFINED PERIOD?"</f>
        <v>0</v>
      </c>
      <c r="B294" t="s">
        <v>823</v>
      </c>
      <c r="C294" t="s">
        <v>855</v>
      </c>
      <c r="D294" t="s">
        <v>683</v>
      </c>
      <c r="E294" t="s">
        <v>812</v>
      </c>
    </row>
    <row r="295" spans="1:5">
      <c r="A295">
        <f>"PRACTICE-IA-[B] IS REUSE OF PASSWORDS PROHIBITED DURING THE SPECIFIED NUMBER OF GENERATIONS?"</f>
        <v>0</v>
      </c>
      <c r="B295" t="s">
        <v>823</v>
      </c>
      <c r="C295" t="s">
        <v>855</v>
      </c>
      <c r="D295" t="s">
        <v>686</v>
      </c>
      <c r="E295" t="s">
        <v>873</v>
      </c>
    </row>
    <row r="296" spans="1:5">
      <c r="A296">
        <f>"PRACTICE-IA-[B] IS THE IDENTITY OF EACH PROCESS ACTING ON BEHALF OF A USER AUTHENTICATED OR VERIFIED AS A PREREQUISITE TO SYSTEM ACCESS?"</f>
        <v>0</v>
      </c>
      <c r="B296" t="s">
        <v>823</v>
      </c>
      <c r="C296" t="s">
        <v>855</v>
      </c>
      <c r="D296" t="s">
        <v>678</v>
      </c>
      <c r="E296" t="s">
        <v>831</v>
      </c>
    </row>
    <row r="297" spans="1:5">
      <c r="A297">
        <f>"PRACTICE-IA-[C] ARE DEVICES ACCESSING THE SYSTEM IDENTIFIED?"</f>
        <v>0</v>
      </c>
      <c r="B297" t="s">
        <v>823</v>
      </c>
      <c r="C297" t="s">
        <v>855</v>
      </c>
      <c r="D297" t="s">
        <v>677</v>
      </c>
      <c r="E297" t="s">
        <v>817</v>
      </c>
    </row>
    <row r="298" spans="1:5">
      <c r="A298">
        <f>"PRACTICE-IA-[C] ARE MINIMUM PASSWORD COMPLEXITY REQUIREMENTS AS DEFINED ENFORCED WHEN NEW PASSWORDS ARE CREATED?"</f>
        <v>0</v>
      </c>
      <c r="B298" t="s">
        <v>823</v>
      </c>
      <c r="C298" t="s">
        <v>855</v>
      </c>
      <c r="D298" t="s">
        <v>685</v>
      </c>
      <c r="E298" t="s">
        <v>894</v>
      </c>
    </row>
    <row r="299" spans="1:5">
      <c r="A299">
        <f>"PRACTICE-IA-[C] IS MULTIFACTOR AUTHENTICATION IMPLEMENTED FOR NETWORK ACCESS TO PRIVILEGED ACCOUNTS?"</f>
        <v>0</v>
      </c>
      <c r="B299" t="s">
        <v>823</v>
      </c>
      <c r="C299" t="s">
        <v>855</v>
      </c>
      <c r="D299" t="s">
        <v>681</v>
      </c>
      <c r="E299" t="s">
        <v>809</v>
      </c>
    </row>
    <row r="300" spans="1:5">
      <c r="A300">
        <f>"PRACTICE-IA-[C] IS THE IDENTITY OF EACH DEVICE ACCESSING OR CONNECTING TO THE SYSTEM AUTHENTICATED OR VERIFIED AS A PREREQUISITE TO SYSTEM ACCESS?"</f>
        <v>0</v>
      </c>
      <c r="B300" t="s">
        <v>823</v>
      </c>
      <c r="C300" t="s">
        <v>855</v>
      </c>
      <c r="D300" t="s">
        <v>678</v>
      </c>
      <c r="E300" t="s">
        <v>815</v>
      </c>
    </row>
    <row r="301" spans="1:5">
      <c r="A301">
        <f>"PRACTICE-IA-[D] ARE MINIMUM PASSWORD CHANGE OF CHARACTER REQUIREMENTS AS DEFINED ENFORCED WHEN NEW PASSWORDS ARE CREATED?"</f>
        <v>0</v>
      </c>
      <c r="B301" t="s">
        <v>823</v>
      </c>
      <c r="C301" t="s">
        <v>855</v>
      </c>
      <c r="D301" t="s">
        <v>685</v>
      </c>
      <c r="E301" t="s">
        <v>898</v>
      </c>
    </row>
    <row r="302" spans="1:5">
      <c r="A302">
        <f>"PRACTICE-IA-[D] IS MULTIFACTOR AUTHENTICATION IMPLEMENTED FOR NETWORK ACCESS TO NON-PRIVILEGED ACCOUNTS?"</f>
        <v>0</v>
      </c>
      <c r="B302" t="s">
        <v>823</v>
      </c>
      <c r="C302" t="s">
        <v>855</v>
      </c>
      <c r="D302" t="s">
        <v>681</v>
      </c>
      <c r="E302" t="s">
        <v>877</v>
      </c>
    </row>
    <row r="303" spans="1:5">
      <c r="A303">
        <f>"PRACTICE-IR-[A] ARE INCIDENTS TRACKED?"</f>
        <v>0</v>
      </c>
      <c r="B303" t="s">
        <v>830</v>
      </c>
      <c r="C303" t="s">
        <v>855</v>
      </c>
      <c r="D303" t="s">
        <v>689</v>
      </c>
      <c r="E303" t="s">
        <v>806</v>
      </c>
    </row>
    <row r="304" spans="1:5">
      <c r="A304">
        <f>"PRACTICE-IR-[A] IS AN OPERATIONAL INCIDENT-HANDLING CAPABILITY ESTABLISHED?"</f>
        <v>0</v>
      </c>
      <c r="B304" t="s">
        <v>830</v>
      </c>
      <c r="C304" t="s">
        <v>855</v>
      </c>
      <c r="D304" t="s">
        <v>688</v>
      </c>
      <c r="E304" t="s">
        <v>869</v>
      </c>
    </row>
    <row r="305" spans="1:5">
      <c r="A305">
        <f>"PRACTICE-IR-[A] IS THE INCIDENT RESPONSE CAPABILITY TESTED?"</f>
        <v>0</v>
      </c>
      <c r="B305" t="s">
        <v>830</v>
      </c>
      <c r="C305" t="s">
        <v>855</v>
      </c>
      <c r="D305" t="s">
        <v>690</v>
      </c>
      <c r="E305" t="s">
        <v>843</v>
      </c>
    </row>
    <row r="306" spans="1:5">
      <c r="A306">
        <f>"PRACTICE-IR-[B] ARE INCIDENTS DOCUMENTED?"</f>
        <v>0</v>
      </c>
      <c r="B306" t="s">
        <v>830</v>
      </c>
      <c r="C306" t="s">
        <v>855</v>
      </c>
      <c r="D306" t="s">
        <v>689</v>
      </c>
      <c r="E306" t="s">
        <v>791</v>
      </c>
    </row>
    <row r="307" spans="1:5">
      <c r="A307">
        <f>"PRACTICE-IR-[B] DOES THE OPERATIONAL INCIDENT-HANDLING CAPABILITY INCLUDE PREPARATION?"</f>
        <v>0</v>
      </c>
      <c r="B307" t="s">
        <v>830</v>
      </c>
      <c r="C307" t="s">
        <v>855</v>
      </c>
      <c r="D307" t="s">
        <v>688</v>
      </c>
      <c r="E307" t="s">
        <v>834</v>
      </c>
    </row>
    <row r="308" spans="1:5">
      <c r="A308">
        <f>"PRACTICE-IR-[C] ARE AUTHORITIES TO WHOM INCIDENTS ARE TO BE REPORTED IDENTIFIED?"</f>
        <v>0</v>
      </c>
      <c r="B308" t="s">
        <v>830</v>
      </c>
      <c r="C308" t="s">
        <v>855</v>
      </c>
      <c r="D308" t="s">
        <v>689</v>
      </c>
      <c r="E308" t="s">
        <v>816</v>
      </c>
    </row>
    <row r="309" spans="1:5">
      <c r="A309">
        <f>"PRACTICE-IR-[C] DOES THE OPERATIONAL INCIDENT-HANDLING CAPABILITY INCLUDE DETECTION?"</f>
        <v>0</v>
      </c>
      <c r="B309" t="s">
        <v>830</v>
      </c>
      <c r="C309" t="s">
        <v>855</v>
      </c>
      <c r="D309" t="s">
        <v>688</v>
      </c>
      <c r="E309" t="s">
        <v>817</v>
      </c>
    </row>
    <row r="310" spans="1:5">
      <c r="A310">
        <f>"PRACTICE-IR-[D] ARE ORGANIZATIONAL OFFICIALS TO WHOM INCIDENTS ARE TO BE REPORTED IDENTIFIED?"</f>
        <v>0</v>
      </c>
      <c r="B310" t="s">
        <v>830</v>
      </c>
      <c r="C310" t="s">
        <v>855</v>
      </c>
      <c r="D310" t="s">
        <v>689</v>
      </c>
      <c r="E310" t="s">
        <v>839</v>
      </c>
    </row>
    <row r="311" spans="1:5">
      <c r="A311">
        <f>"PRACTICE-IR-[D] DOES THE OPERATIONAL INCIDENT-HANDLING CAPABILITY INCLUDE ANALYSIS?"</f>
        <v>0</v>
      </c>
      <c r="B311" t="s">
        <v>830</v>
      </c>
      <c r="C311" t="s">
        <v>855</v>
      </c>
      <c r="D311" t="s">
        <v>688</v>
      </c>
      <c r="E311" t="s">
        <v>827</v>
      </c>
    </row>
    <row r="312" spans="1:5">
      <c r="A312">
        <f>"PRACTICE-IR-[E] ARE IDENTIFIED AUTHORITIES NOTIFIED OF INCIDENTS?"</f>
        <v>0</v>
      </c>
      <c r="B312" t="s">
        <v>830</v>
      </c>
      <c r="C312" t="s">
        <v>855</v>
      </c>
      <c r="D312" t="s">
        <v>689</v>
      </c>
      <c r="E312" t="s">
        <v>828</v>
      </c>
    </row>
    <row r="313" spans="1:5">
      <c r="A313">
        <f>"PRACTICE-IR-[E] DOES THE OPERATIONAL INCIDENT-HANDLING CAPABILITY INCLUDE CONTAINMENT?"</f>
        <v>0</v>
      </c>
      <c r="B313" t="s">
        <v>830</v>
      </c>
      <c r="C313" t="s">
        <v>855</v>
      </c>
      <c r="D313" t="s">
        <v>688</v>
      </c>
      <c r="E313" t="s">
        <v>805</v>
      </c>
    </row>
    <row r="314" spans="1:5">
      <c r="A314">
        <f>"PRACTICE-IR-[F] ARE IDENTIFIED ORGANIZATIONAL OFFICIALS NOTIFIED OF INCIDENTS?"</f>
        <v>0</v>
      </c>
      <c r="B314" t="s">
        <v>830</v>
      </c>
      <c r="C314" t="s">
        <v>855</v>
      </c>
      <c r="D314" t="s">
        <v>689</v>
      </c>
      <c r="E314" t="s">
        <v>807</v>
      </c>
    </row>
    <row r="315" spans="1:5">
      <c r="A315">
        <f>"PRACTICE-IR-[F] DOES THE OPERATIONAL INCIDENT-HANDLING CAPABILITY INCLUDE RECOVERY?"</f>
        <v>0</v>
      </c>
      <c r="B315" t="s">
        <v>830</v>
      </c>
      <c r="C315" t="s">
        <v>855</v>
      </c>
      <c r="D315" t="s">
        <v>688</v>
      </c>
      <c r="E315" t="s">
        <v>902</v>
      </c>
    </row>
    <row r="316" spans="1:5">
      <c r="A316">
        <f>"PRACTICE-IR-[G] DOES THE OPERATIONAL INCIDENT-HANDLING CAPABILITY INCLUDE USER RESPONSE ACTIVITIES?"</f>
        <v>0</v>
      </c>
      <c r="B316" t="s">
        <v>830</v>
      </c>
      <c r="C316" t="s">
        <v>855</v>
      </c>
      <c r="D316" t="s">
        <v>688</v>
      </c>
      <c r="E316" t="s">
        <v>790</v>
      </c>
    </row>
    <row r="317" spans="1:5">
      <c r="A317">
        <f>"PRACTICE-MA-[A] ARE MAINTENANCE PERSONNEL WITHOUT REQUIRED ACCESS AUTHORIZATION SUPERVISED DURING MAINTENANCE ACTIVITIES?"</f>
        <v>0</v>
      </c>
      <c r="B317" t="s">
        <v>833</v>
      </c>
      <c r="C317" t="s">
        <v>855</v>
      </c>
      <c r="D317" t="s">
        <v>696</v>
      </c>
      <c r="E317" t="s">
        <v>877</v>
      </c>
    </row>
    <row r="318" spans="1:5">
      <c r="A318">
        <f>"PRACTICE-MA-[A] ARE MEDIA CONTAINING DIAGNOSTIC AND TEST PROGRAMS CHECKED FOR MALICIOUS CODE BEFORE BEING USED IN ORGANIZATIONAL SYSTEMS THAT PROCESS, STORE, OR TRANSMIT CUI?"</f>
        <v>0</v>
      </c>
      <c r="B318" t="s">
        <v>833</v>
      </c>
      <c r="C318" t="s">
        <v>855</v>
      </c>
      <c r="D318" t="s">
        <v>694</v>
      </c>
      <c r="E318" t="s">
        <v>807</v>
      </c>
    </row>
    <row r="319" spans="1:5">
      <c r="A319">
        <f>"PRACTICE-MA-[A] ARE TOOLS USED TO CONDUCT SYSTEM MAINTENANCE CONTROLLED?"</f>
        <v>0</v>
      </c>
      <c r="B319" t="s">
        <v>833</v>
      </c>
      <c r="C319" t="s">
        <v>855</v>
      </c>
      <c r="D319" t="s">
        <v>692</v>
      </c>
      <c r="E319" t="s">
        <v>805</v>
      </c>
    </row>
    <row r="320" spans="1:5">
      <c r="A320">
        <f>"PRACTICE-MA-[A] IS EQUIPMENT TO BE REMOVED FROM ORGANIZATIONAL SPACES FOR OFF-SITE MAINTENANCE SANITIZED OF ANY CUI?"</f>
        <v>0</v>
      </c>
      <c r="B320" t="s">
        <v>833</v>
      </c>
      <c r="C320" t="s">
        <v>855</v>
      </c>
      <c r="D320" t="s">
        <v>693</v>
      </c>
      <c r="E320" t="s">
        <v>791</v>
      </c>
    </row>
    <row r="321" spans="1:5">
      <c r="A321">
        <f>"PRACTICE-MA-[A] IS MULTIFACTOR AUTHENTICATION USED TO ESTABLISH NONLOCAL MAINTENANCE SESSIONS VIA EXTERNAL NETWORK CONNECTIONS?"</f>
        <v>0</v>
      </c>
      <c r="B321" t="s">
        <v>833</v>
      </c>
      <c r="C321" t="s">
        <v>855</v>
      </c>
      <c r="D321" t="s">
        <v>695</v>
      </c>
      <c r="E321" t="s">
        <v>843</v>
      </c>
    </row>
    <row r="322" spans="1:5">
      <c r="A322">
        <f>"PRACTICE-MA-[A] IS SYSTEM MAINTENANCE PERFORMED?"</f>
        <v>0</v>
      </c>
      <c r="B322" t="s">
        <v>833</v>
      </c>
      <c r="C322" t="s">
        <v>855</v>
      </c>
      <c r="D322" t="s">
        <v>691</v>
      </c>
      <c r="E322" t="s">
        <v>869</v>
      </c>
    </row>
    <row r="323" spans="1:5">
      <c r="A323">
        <f>"PRACTICE-MA-[B] ARE NONLOCAL MAINTENANCE SESSIONS ESTABLISHED VIA EXTERNAL NETWORK CONNECTIONS TERMINATED WHEN NONLOCAL MAINTENANCE IS COMPLETE?"</f>
        <v>0</v>
      </c>
      <c r="B323" t="s">
        <v>833</v>
      </c>
      <c r="C323" t="s">
        <v>855</v>
      </c>
      <c r="D323" t="s">
        <v>695</v>
      </c>
      <c r="E323" t="s">
        <v>803</v>
      </c>
    </row>
    <row r="324" spans="1:5">
      <c r="A324">
        <f>"PRACTICE-MA-[B] ARE TECHNIQUES USED TO CONDUCT SYSTEM MAINTENANCE CONTROLLED?"</f>
        <v>0</v>
      </c>
      <c r="B324" t="s">
        <v>833</v>
      </c>
      <c r="C324" t="s">
        <v>855</v>
      </c>
      <c r="D324" t="s">
        <v>692</v>
      </c>
      <c r="E324" t="s">
        <v>902</v>
      </c>
    </row>
    <row r="325" spans="1:5">
      <c r="A325">
        <f>"PRACTICE-MA-[C] ARE MECHANISMS USED TO CONDUCT SYSTEM MAINTENANCE CONTROLLED?"</f>
        <v>0</v>
      </c>
      <c r="B325" t="s">
        <v>833</v>
      </c>
      <c r="C325" t="s">
        <v>855</v>
      </c>
      <c r="D325" t="s">
        <v>692</v>
      </c>
      <c r="E325" t="s">
        <v>790</v>
      </c>
    </row>
    <row r="326" spans="1:5">
      <c r="A326">
        <f>"PRACTICE-MA-[D] ARE PERSONNEL USED TO CONDUCT SYSTEM MAINTENANCE CONTROLLED?"</f>
        <v>0</v>
      </c>
      <c r="B326" t="s">
        <v>833</v>
      </c>
      <c r="C326" t="s">
        <v>855</v>
      </c>
      <c r="D326" t="s">
        <v>692</v>
      </c>
      <c r="E326" t="s">
        <v>831</v>
      </c>
    </row>
    <row r="327" spans="1:5">
      <c r="A327">
        <f>"PRACTICE-MP-[A] IS ACCESS TO CUI ON SYSTEM MEDIA LIMITED TO AUTHORIZED USERS?"</f>
        <v>0</v>
      </c>
      <c r="B327" t="s">
        <v>836</v>
      </c>
      <c r="C327" t="s">
        <v>855</v>
      </c>
      <c r="D327" t="s">
        <v>699</v>
      </c>
      <c r="E327" t="s">
        <v>816</v>
      </c>
    </row>
    <row r="328" spans="1:5">
      <c r="A328">
        <f>"PRACTICE-MP-[A] IS ACCESS TO MEDIA CONTAINING CUI CONTROLLED?"</f>
        <v>0</v>
      </c>
      <c r="B328" t="s">
        <v>836</v>
      </c>
      <c r="C328" t="s">
        <v>855</v>
      </c>
      <c r="D328" t="s">
        <v>701</v>
      </c>
      <c r="E328" t="s">
        <v>835</v>
      </c>
    </row>
    <row r="329" spans="1:5">
      <c r="A329">
        <f>"PRACTICE-MP-[A] IS MEDIA CONTAINING CUI MARKED WITH APPLICABLE CUI MARKINGS?"</f>
        <v>0</v>
      </c>
      <c r="B329" t="s">
        <v>836</v>
      </c>
      <c r="C329" t="s">
        <v>855</v>
      </c>
      <c r="D329" t="s">
        <v>700</v>
      </c>
      <c r="E329" t="s">
        <v>832</v>
      </c>
    </row>
    <row r="330" spans="1:5">
      <c r="A330">
        <f>"PRACTICE-MP-[A] IS PAPER MEDIA CONTAINING CUI PHYSICALLY CONTROLLED?"</f>
        <v>0</v>
      </c>
      <c r="B330" t="s">
        <v>836</v>
      </c>
      <c r="C330" t="s">
        <v>855</v>
      </c>
      <c r="D330" t="s">
        <v>698</v>
      </c>
      <c r="E330" t="s">
        <v>902</v>
      </c>
    </row>
    <row r="331" spans="1:5">
      <c r="A331">
        <f>"PRACTICE-MP-[A] IS SYSTEM MEDIA CONTAINING FCI SANITIZED OR DESTROYED BEFORE DISPOSAL?"</f>
        <v>0</v>
      </c>
      <c r="B331" t="s">
        <v>836</v>
      </c>
      <c r="C331" t="s">
        <v>855</v>
      </c>
      <c r="D331" t="s">
        <v>697</v>
      </c>
      <c r="E331" t="s">
        <v>869</v>
      </c>
    </row>
    <row r="332" spans="1:5">
      <c r="A332">
        <f>"PRACTICE-MP-[A] IS THE CONFIDENTIALITY OF BACKUP CUI PROTECTED AT STORAGE LOCATIONS?"</f>
        <v>0</v>
      </c>
      <c r="B332" t="s">
        <v>836</v>
      </c>
      <c r="C332" t="s">
        <v>855</v>
      </c>
      <c r="D332" t="s">
        <v>705</v>
      </c>
      <c r="E332" t="s">
        <v>821</v>
      </c>
    </row>
    <row r="333" spans="1:5">
      <c r="A333">
        <f>"PRACTICE-MP-[A] IS THE CONFIDENTIALITY OF CUI STORED ON DIGITAL MEDIA PROTECTED DURING TRANSPORT USING CRYPTOGRAPHIC MECHANISMS OR ALTERNATIVE PHYSICAL SAFEGUARDS?"</f>
        <v>0</v>
      </c>
      <c r="B333" t="s">
        <v>836</v>
      </c>
      <c r="C333" t="s">
        <v>855</v>
      </c>
      <c r="D333" t="s">
        <v>702</v>
      </c>
      <c r="E333" t="s">
        <v>842</v>
      </c>
    </row>
    <row r="334" spans="1:5">
      <c r="A334">
        <f>"PRACTICE-MP-[A] IS THE USE OF PORTABLE STORAGE DEVICES PROHIBITED WHEN SUCH DEVICES HAVE NO IDENTIFIABLE OWNER?"</f>
        <v>0</v>
      </c>
      <c r="B334" t="s">
        <v>836</v>
      </c>
      <c r="C334" t="s">
        <v>855</v>
      </c>
      <c r="D334" t="s">
        <v>704</v>
      </c>
      <c r="E334" t="s">
        <v>802</v>
      </c>
    </row>
    <row r="335" spans="1:5">
      <c r="A335">
        <f>"PRACTICE-MP-[A] IS THE USE OF REMOVABLE MEDIA ON SYSTEM COMPONENTS CONTROLLED?"</f>
        <v>0</v>
      </c>
      <c r="B335" t="s">
        <v>836</v>
      </c>
      <c r="C335" t="s">
        <v>855</v>
      </c>
      <c r="D335" t="s">
        <v>703</v>
      </c>
      <c r="E335" t="s">
        <v>907</v>
      </c>
    </row>
    <row r="336" spans="1:5">
      <c r="A336">
        <f>"PRACTICE-MP-[B] IS ACCOUNTABILITY FOR MEDIA CONTAINING CUI MAINTAINED DURING TRANSPORT OUTSIDE OF CONTROLLED AREAS?"</f>
        <v>0</v>
      </c>
      <c r="B336" t="s">
        <v>836</v>
      </c>
      <c r="C336" t="s">
        <v>855</v>
      </c>
      <c r="D336" t="s">
        <v>701</v>
      </c>
      <c r="E336" t="s">
        <v>819</v>
      </c>
    </row>
    <row r="337" spans="1:5">
      <c r="A337">
        <f>"PRACTICE-MP-[B] IS DIGITAL MEDIA CONTAINING CUI PHYSICALLY CONTROLLED?"</f>
        <v>0</v>
      </c>
      <c r="B337" t="s">
        <v>836</v>
      </c>
      <c r="C337" t="s">
        <v>855</v>
      </c>
      <c r="D337" t="s">
        <v>698</v>
      </c>
      <c r="E337" t="s">
        <v>790</v>
      </c>
    </row>
    <row r="338" spans="1:5">
      <c r="A338">
        <f>"PRACTICE-MP-[B] IS MEDIA CONTAINING CUI MARKED WITH DISTRIBUTION LIMITATIONS?"</f>
        <v>0</v>
      </c>
      <c r="B338" t="s">
        <v>836</v>
      </c>
      <c r="C338" t="s">
        <v>855</v>
      </c>
      <c r="D338" t="s">
        <v>700</v>
      </c>
      <c r="E338" t="s">
        <v>813</v>
      </c>
    </row>
    <row r="339" spans="1:5">
      <c r="A339">
        <f>"PRACTICE-MP-[B] IS SYSTEM MEDIA CONTAINING FCI SANITIZED BEFORE IT IS RELEASED FOR REUSE?"</f>
        <v>0</v>
      </c>
      <c r="B339" t="s">
        <v>836</v>
      </c>
      <c r="C339" t="s">
        <v>855</v>
      </c>
      <c r="D339" t="s">
        <v>697</v>
      </c>
      <c r="E339" t="s">
        <v>834</v>
      </c>
    </row>
    <row r="340" spans="1:5">
      <c r="A340">
        <f>"PRACTICE-MP-[C] IS PAPER MEDIA CONTAINING CUI SECURELY STORED?"</f>
        <v>0</v>
      </c>
      <c r="B340" t="s">
        <v>836</v>
      </c>
      <c r="C340" t="s">
        <v>855</v>
      </c>
      <c r="D340" t="s">
        <v>698</v>
      </c>
      <c r="E340" t="s">
        <v>831</v>
      </c>
    </row>
    <row r="341" spans="1:5">
      <c r="A341">
        <f>"PRACTICE-MP-[D] IS DIGITAL MEDIA CONTAINING CUI SECURELY STORED?"</f>
        <v>0</v>
      </c>
      <c r="B341" t="s">
        <v>836</v>
      </c>
      <c r="C341" t="s">
        <v>855</v>
      </c>
      <c r="D341" t="s">
        <v>698</v>
      </c>
      <c r="E341" t="s">
        <v>815</v>
      </c>
    </row>
    <row r="342" spans="1:5">
      <c r="A342">
        <f>"PRACTICE-PE-[A] ARE AUDIT LOGS OF PHYSICAL ACCESS MAINTAINED?"</f>
        <v>0</v>
      </c>
      <c r="B342" t="s">
        <v>841</v>
      </c>
      <c r="C342" t="s">
        <v>855</v>
      </c>
      <c r="D342" t="s">
        <v>710</v>
      </c>
      <c r="E342" t="s">
        <v>816</v>
      </c>
    </row>
    <row r="343" spans="1:5">
      <c r="A343">
        <f>"PRACTICE-PE-[A] ARE AUTHORIZED INDIVIDUALS ALLOWED PHYSICAL ACCESS IDENTIFIED?"</f>
        <v>0</v>
      </c>
      <c r="B343" t="s">
        <v>841</v>
      </c>
      <c r="C343" t="s">
        <v>855</v>
      </c>
      <c r="D343" t="s">
        <v>708</v>
      </c>
      <c r="E343" t="s">
        <v>869</v>
      </c>
    </row>
    <row r="344" spans="1:5">
      <c r="A344">
        <f>"PRACTICE-PE-[A] ARE PHYSICAL ACCESS DEVICES IDENTIFIED?"</f>
        <v>0</v>
      </c>
      <c r="B344" t="s">
        <v>841</v>
      </c>
      <c r="C344" t="s">
        <v>855</v>
      </c>
      <c r="D344" t="s">
        <v>711</v>
      </c>
      <c r="E344" t="s">
        <v>832</v>
      </c>
    </row>
    <row r="345" spans="1:5">
      <c r="A345">
        <f>"PRACTICE-PE-[A] ARE SAFEGUARDING MEASURES FOR CUI DEFINED FOR ALTERNATE WORK SITES?"</f>
        <v>0</v>
      </c>
      <c r="B345" t="s">
        <v>841</v>
      </c>
      <c r="C345" t="s">
        <v>855</v>
      </c>
      <c r="D345" t="s">
        <v>713</v>
      </c>
      <c r="E345" t="s">
        <v>826</v>
      </c>
    </row>
    <row r="346" spans="1:5">
      <c r="A346">
        <f>"PRACTICE-PE-[A] ARE VISITORS ESCORTED?"</f>
        <v>0</v>
      </c>
      <c r="B346" t="s">
        <v>841</v>
      </c>
      <c r="C346" t="s">
        <v>855</v>
      </c>
      <c r="D346" t="s">
        <v>709</v>
      </c>
      <c r="E346" t="s">
        <v>831</v>
      </c>
    </row>
    <row r="347" spans="1:5">
      <c r="A347">
        <f>"PRACTICE-PE-[A] IS THE PHYSICAL FACILITY WHERE ORGANIZATIONAL SYSTEMS RESIDE PROTECTED?"</f>
        <v>0</v>
      </c>
      <c r="B347" t="s">
        <v>841</v>
      </c>
      <c r="C347" t="s">
        <v>855</v>
      </c>
      <c r="D347" t="s">
        <v>712</v>
      </c>
      <c r="E347" t="s">
        <v>819</v>
      </c>
    </row>
    <row r="348" spans="1:5">
      <c r="A348">
        <f>"PRACTICE-PE-[B] ARE PHYSICAL ACCESS DEVICES CONTROLLED?"</f>
        <v>0</v>
      </c>
      <c r="B348" t="s">
        <v>841</v>
      </c>
      <c r="C348" t="s">
        <v>855</v>
      </c>
      <c r="D348" t="s">
        <v>711</v>
      </c>
      <c r="E348" t="s">
        <v>813</v>
      </c>
    </row>
    <row r="349" spans="1:5">
      <c r="A349">
        <f>"PRACTICE-PE-[B] ARE SAFEGUARDING MEASURES FOR CUI ENFORCED FOR ALTERNATE WORK SITES?"</f>
        <v>0</v>
      </c>
      <c r="B349" t="s">
        <v>841</v>
      </c>
      <c r="C349" t="s">
        <v>855</v>
      </c>
      <c r="D349" t="s">
        <v>713</v>
      </c>
      <c r="E349" t="s">
        <v>907</v>
      </c>
    </row>
    <row r="350" spans="1:5">
      <c r="A350">
        <f>"PRACTICE-PE-[B] IS PHYSICAL ACCESS TO ORGANIZATIONAL SYSTEMS LIMITED TO AUTHORIZED INDIVIDUALS?"</f>
        <v>0</v>
      </c>
      <c r="B350" t="s">
        <v>841</v>
      </c>
      <c r="C350" t="s">
        <v>855</v>
      </c>
      <c r="D350" t="s">
        <v>708</v>
      </c>
      <c r="E350" t="s">
        <v>834</v>
      </c>
    </row>
    <row r="351" spans="1:5">
      <c r="A351">
        <f>"PRACTICE-PE-[B] IS THE SUPPORT INFRASTRUCTURE FOR ORGANIZATIONAL SYSTEMS PROTECTED?"</f>
        <v>0</v>
      </c>
      <c r="B351" t="s">
        <v>841</v>
      </c>
      <c r="C351" t="s">
        <v>855</v>
      </c>
      <c r="D351" t="s">
        <v>712</v>
      </c>
      <c r="E351" t="s">
        <v>809</v>
      </c>
    </row>
    <row r="352" spans="1:5">
      <c r="A352">
        <f>"PRACTICE-PE-[B] IS VISITOR ACTIVITY MONITORED?"</f>
        <v>0</v>
      </c>
      <c r="B352" t="s">
        <v>841</v>
      </c>
      <c r="C352" t="s">
        <v>855</v>
      </c>
      <c r="D352" t="s">
        <v>709</v>
      </c>
      <c r="E352" t="s">
        <v>815</v>
      </c>
    </row>
    <row r="353" spans="1:5">
      <c r="A353">
        <f>"PRACTICE-PE-[C] ARE PHYSICAL ACCESS DEVICES MANAGED?"</f>
        <v>0</v>
      </c>
      <c r="B353" t="s">
        <v>841</v>
      </c>
      <c r="C353" t="s">
        <v>855</v>
      </c>
      <c r="D353" t="s">
        <v>711</v>
      </c>
      <c r="E353" t="s">
        <v>822</v>
      </c>
    </row>
    <row r="354" spans="1:5">
      <c r="A354">
        <f>"PRACTICE-PE-[C] IS PHYSICAL ACCESS TO EQUIPMENT LIMITED TO AUTHORIZED INDIVIDUALS?"</f>
        <v>0</v>
      </c>
      <c r="B354" t="s">
        <v>841</v>
      </c>
      <c r="C354" t="s">
        <v>855</v>
      </c>
      <c r="D354" t="s">
        <v>708</v>
      </c>
      <c r="E354" t="s">
        <v>817</v>
      </c>
    </row>
    <row r="355" spans="1:5">
      <c r="A355">
        <f>"PRACTICE-PE-[C] IS THE PHYSICAL FACILITY WHERE ORGANIZATIONAL SYSTEMS RESIDE MONITORED?"</f>
        <v>0</v>
      </c>
      <c r="B355" t="s">
        <v>841</v>
      </c>
      <c r="C355" t="s">
        <v>855</v>
      </c>
      <c r="D355" t="s">
        <v>712</v>
      </c>
      <c r="E355" t="s">
        <v>877</v>
      </c>
    </row>
    <row r="356" spans="1:5">
      <c r="A356">
        <f>"PRACTICE-PE-[D] IS PHYSICAL ACCESS TO OPERATING ENVIRONMENTS LIMITED TO AUTHORIZED INDIVIDUALS?"</f>
        <v>0</v>
      </c>
      <c r="B356" t="s">
        <v>841</v>
      </c>
      <c r="C356" t="s">
        <v>855</v>
      </c>
      <c r="D356" t="s">
        <v>708</v>
      </c>
      <c r="E356" t="s">
        <v>827</v>
      </c>
    </row>
    <row r="357" spans="1:5">
      <c r="A357">
        <f>"PRACTICE-PE-[D] IS THE SUPPORT INFRASTRUCTURE FOR ORGANIZATIONAL SYSTEMS MONITORED?"</f>
        <v>0</v>
      </c>
      <c r="B357" t="s">
        <v>841</v>
      </c>
      <c r="C357" t="s">
        <v>855</v>
      </c>
      <c r="D357" t="s">
        <v>712</v>
      </c>
      <c r="E357" t="s">
        <v>829</v>
      </c>
    </row>
    <row r="358" spans="1:5">
      <c r="A358">
        <f>"PRACTICE-PS-[A] ARE INDIVIDUALS SCREENED PRIOR TO AUTHORIZING ACCESS TO ORGANIZATIONAL SYSTEMS CONTAINING CUI?"</f>
        <v>0</v>
      </c>
      <c r="B358" t="s">
        <v>844</v>
      </c>
      <c r="C358" t="s">
        <v>855</v>
      </c>
      <c r="D358" t="s">
        <v>706</v>
      </c>
      <c r="E358" t="s">
        <v>869</v>
      </c>
    </row>
    <row r="359" spans="1:5">
      <c r="A359">
        <f>"PRACTICE-PS-[A] IS A POLICY AND/OR PROCESS FOR TERMINATING SYSTEM ACCESS AND ANY CREDENTIALS COINCIDENT WITH PERSONNEL ACTIONS ESTABLISHED?"</f>
        <v>0</v>
      </c>
      <c r="B359" t="s">
        <v>844</v>
      </c>
      <c r="C359" t="s">
        <v>855</v>
      </c>
      <c r="D359" t="s">
        <v>707</v>
      </c>
      <c r="E359" t="s">
        <v>805</v>
      </c>
    </row>
    <row r="360" spans="1:5">
      <c r="A360">
        <f>"PRACTICE-PS-[B] ARE SYSTEM ACCESS AND CREDENTIALS TERMINATED CONSISTENT WITH PERSONNEL ACTIONS SUCH AS TERMINATION OR TRANSFER?"</f>
        <v>0</v>
      </c>
      <c r="B360" t="s">
        <v>844</v>
      </c>
      <c r="C360" t="s">
        <v>855</v>
      </c>
      <c r="D360" t="s">
        <v>707</v>
      </c>
      <c r="E360" t="s">
        <v>902</v>
      </c>
    </row>
    <row r="361" spans="1:5">
      <c r="A361">
        <f>"PRACTICE-PS-[C] IS THE SYSTEM PROTECTED DURING AND AFTER PERSONNEL TRANSFER ACTIONS?"</f>
        <v>0</v>
      </c>
      <c r="B361" t="s">
        <v>844</v>
      </c>
      <c r="C361" t="s">
        <v>855</v>
      </c>
      <c r="D361" t="s">
        <v>707</v>
      </c>
      <c r="E361" t="s">
        <v>790</v>
      </c>
    </row>
    <row r="362" spans="1:5">
      <c r="A362">
        <f>"PRACTICE-RA-[A] ARE VULNERABILITIES IDENTIFIED?"</f>
        <v>0</v>
      </c>
      <c r="B362" t="s">
        <v>845</v>
      </c>
      <c r="C362" t="s">
        <v>855</v>
      </c>
      <c r="D362" t="s">
        <v>716</v>
      </c>
      <c r="E362" t="s">
        <v>839</v>
      </c>
    </row>
    <row r="363" spans="1:5">
      <c r="A363">
        <f>"PRACTICE-RA-[A] IS THE FREQUENCY TO ASSESS RISK TO ORGANIZATIONAL OPERATIONS, ORGANIZATIONAL ASSETS, AND INDIVIDUALS DEFINED?"</f>
        <v>0</v>
      </c>
      <c r="B363" t="s">
        <v>845</v>
      </c>
      <c r="C363" t="s">
        <v>855</v>
      </c>
      <c r="D363" t="s">
        <v>714</v>
      </c>
      <c r="E363" t="s">
        <v>869</v>
      </c>
    </row>
    <row r="364" spans="1:5">
      <c r="A364">
        <f>"PRACTICE-RA-[A] IS THE FREQUENCY TO SCAN FOR VULNERABILITIES IN ORGANIZATIONAL SYSTEMS AND APPLICATIONS DEFINED?"</f>
        <v>0</v>
      </c>
      <c r="B364" t="s">
        <v>845</v>
      </c>
      <c r="C364" t="s">
        <v>855</v>
      </c>
      <c r="D364" t="s">
        <v>715</v>
      </c>
      <c r="E364" t="s">
        <v>902</v>
      </c>
    </row>
    <row r="365" spans="1:5">
      <c r="A365">
        <f>"PRACTICE-RA-[B] ARE VULNERABILITIES REMEDIATED IN ACCORDANCE WITH RISK ASSESSMENTS?"</f>
        <v>0</v>
      </c>
      <c r="B365" t="s">
        <v>845</v>
      </c>
      <c r="C365" t="s">
        <v>855</v>
      </c>
      <c r="D365" t="s">
        <v>716</v>
      </c>
      <c r="E365" t="s">
        <v>828</v>
      </c>
    </row>
    <row r="366" spans="1:5">
      <c r="A366">
        <f>"PRACTICE-RA-[B] ARE VULNERABILITY SCANS PERFORMED ON ORGANIZATIONAL SYSTEMS WITH THE DEFINED FREQUENCY?"</f>
        <v>0</v>
      </c>
      <c r="B366" t="s">
        <v>845</v>
      </c>
      <c r="C366" t="s">
        <v>855</v>
      </c>
      <c r="D366" t="s">
        <v>715</v>
      </c>
      <c r="E366" t="s">
        <v>790</v>
      </c>
    </row>
    <row r="367" spans="1:5">
      <c r="A367">
        <f>"PRACTICE-RA-[B] IS RISK TO ORGANIZATIONAL OPERATIONS, ORGANIZATIONAL ASSETS, AND INDIVIDUALS RESULTING FROM THE OPERATION OF AN ORGANIZATIONAL SYSTEM THAT PROCESSES, STORES, OR TRANSMITS CUI IS ASSESSED WITH THE DEFINED FREQUENCY?"</f>
        <v>0</v>
      </c>
      <c r="B367" t="s">
        <v>845</v>
      </c>
      <c r="C367" t="s">
        <v>855</v>
      </c>
      <c r="D367" t="s">
        <v>714</v>
      </c>
      <c r="E367" t="s">
        <v>834</v>
      </c>
    </row>
    <row r="368" spans="1:5">
      <c r="A368">
        <f>"PRACTICE-RA-[C] ARE VULNERABILITY SCANS PERFORMED ON APPLICATIONS WITH THE DEFINED FREQUENCY?"</f>
        <v>0</v>
      </c>
      <c r="B368" t="s">
        <v>845</v>
      </c>
      <c r="C368" t="s">
        <v>855</v>
      </c>
      <c r="D368" t="s">
        <v>715</v>
      </c>
      <c r="E368" t="s">
        <v>831</v>
      </c>
    </row>
    <row r="369" spans="1:5">
      <c r="A369">
        <f>"PRACTICE-RA-[D] ARE VULNERABILITY SCANS PERFORMED ON ORGANIZATIONAL SYSTEMS WHEN NEW VULNERABILITIES ARE IDENTIFIED?"</f>
        <v>0</v>
      </c>
      <c r="B369" t="s">
        <v>845</v>
      </c>
      <c r="C369" t="s">
        <v>855</v>
      </c>
      <c r="D369" t="s">
        <v>715</v>
      </c>
      <c r="E369" t="s">
        <v>815</v>
      </c>
    </row>
    <row r="370" spans="1:5">
      <c r="A370">
        <f>"PRACTICE-RA-[E] ARE VULNERABILITY SCANS PERFORMED ON APPLICATIONS WHEN NEW VULNERABILITIES ARE IDENTIFIED?"</f>
        <v>0</v>
      </c>
      <c r="B370" t="s">
        <v>845</v>
      </c>
      <c r="C370" t="s">
        <v>855</v>
      </c>
      <c r="D370" t="s">
        <v>715</v>
      </c>
      <c r="E370" t="s">
        <v>825</v>
      </c>
    </row>
    <row r="371" spans="1:5">
      <c r="A371">
        <f>"PRACTICE-SC-[A] ARE ARCHITECTURAL DESIGNS THAT PROMOTE EFFECTIVE INFORMATION SECURITY ARE IDENTIFIED?"</f>
        <v>0</v>
      </c>
      <c r="B371" t="s">
        <v>846</v>
      </c>
      <c r="C371" t="s">
        <v>855</v>
      </c>
      <c r="D371" t="s">
        <v>737</v>
      </c>
      <c r="E371" t="s">
        <v>857</v>
      </c>
    </row>
    <row r="372" spans="1:5">
      <c r="A372">
        <f>"PRACTICE-SC-[A] ARE COLLABORATIVE COMPUTING DEVICES IDENTIFIED?"</f>
        <v>0</v>
      </c>
      <c r="B372" t="s">
        <v>846</v>
      </c>
      <c r="C372" t="s">
        <v>855</v>
      </c>
      <c r="D372" t="s">
        <v>732</v>
      </c>
      <c r="E372" t="s">
        <v>829</v>
      </c>
    </row>
    <row r="373" spans="1:5">
      <c r="A373">
        <f>"PRACTICE-SC-[A] ARE CRYPTOGRAPHIC KEYS ESTABLISHED WHENEVER CRYPTOGRAPHY IS EMPLOYED?"</f>
        <v>0</v>
      </c>
      <c r="B373" t="s">
        <v>846</v>
      </c>
      <c r="C373" t="s">
        <v>855</v>
      </c>
      <c r="D373" t="s">
        <v>730</v>
      </c>
      <c r="E373" t="s">
        <v>832</v>
      </c>
    </row>
    <row r="374" spans="1:5">
      <c r="A374">
        <f>"PRACTICE-SC-[A] ARE CRYPTOGRAPHIC MECHANISMS INTENDED TO PREVENT UNAUTHORIZED DISCLOSURE OF CUI  IDENTIFIED?"</f>
        <v>0</v>
      </c>
      <c r="B374" t="s">
        <v>846</v>
      </c>
      <c r="C374" t="s">
        <v>855</v>
      </c>
      <c r="D374" t="s">
        <v>742</v>
      </c>
      <c r="E374" t="s">
        <v>875</v>
      </c>
    </row>
    <row r="375" spans="1:5">
      <c r="A375">
        <f>"PRACTICE-SC-[A] ARE PUBLICLY ACCESSIBLE SYSTEM COMPONENTS IDENTIFIED?"</f>
        <v>0</v>
      </c>
      <c r="B375" t="s">
        <v>846</v>
      </c>
      <c r="C375" t="s">
        <v>855</v>
      </c>
      <c r="D375" t="s">
        <v>729</v>
      </c>
      <c r="E375" t="s">
        <v>791</v>
      </c>
    </row>
    <row r="376" spans="1:5">
      <c r="A376">
        <f>"PRACTICE-SC-[A] ARE REMOTE DEVICES PREVENTED FROM SIMULTANEOUSLY ESTABLISHING NON-REMOTE CONNECTIONS WITH THE SYSTEM AND COMMUNICATING VIA SOME OTHER CONNECTION TO RESOURCES IN EXTERNAL NETWORKS (I.E., SPLIT TUNNELING)?"</f>
        <v>0</v>
      </c>
      <c r="B376" t="s">
        <v>846</v>
      </c>
      <c r="C376" t="s">
        <v>855</v>
      </c>
      <c r="D376" t="s">
        <v>741</v>
      </c>
      <c r="E376" t="s">
        <v>796</v>
      </c>
    </row>
    <row r="377" spans="1:5">
      <c r="A377">
        <f>"PRACTICE-SC-[A] IS A PERIOD OF INACTIVITY TO TERMINATE NETWORK CONNECTIONS ASSOCIATED WITH COMMUNICATIONS SESSIONS DEFINED?"</f>
        <v>0</v>
      </c>
      <c r="B377" t="s">
        <v>846</v>
      </c>
      <c r="C377" t="s">
        <v>855</v>
      </c>
      <c r="D377" t="s">
        <v>743</v>
      </c>
      <c r="E377" t="s">
        <v>885</v>
      </c>
    </row>
    <row r="378" spans="1:5">
      <c r="A378">
        <f>"PRACTICE-SC-[A] IS FIPS-VALIDATED CRYPTOGRAPHY EMPLOYED TO PROTECT THE CONFIDENTIALITY OF CUI?"</f>
        <v>0</v>
      </c>
      <c r="B378" t="s">
        <v>846</v>
      </c>
      <c r="C378" t="s">
        <v>855</v>
      </c>
      <c r="D378" t="s">
        <v>731</v>
      </c>
      <c r="E378" t="s">
        <v>835</v>
      </c>
    </row>
    <row r="379" spans="1:5">
      <c r="A379">
        <f>"PRACTICE-SC-[A] IS NETWORK COMMUNICATIONS TRAFFIC DENIED BY DEFAULT?"</f>
        <v>0</v>
      </c>
      <c r="B379" t="s">
        <v>846</v>
      </c>
      <c r="C379" t="s">
        <v>855</v>
      </c>
      <c r="D379" t="s">
        <v>740</v>
      </c>
      <c r="E379" t="s">
        <v>783</v>
      </c>
    </row>
    <row r="380" spans="1:5">
      <c r="A380">
        <f>"PRACTICE-SC-[A] IS THE AUTHENTICITY OF COMMUNICATIONS SESSIONS PROTECTED?"</f>
        <v>0</v>
      </c>
      <c r="B380" t="s">
        <v>846</v>
      </c>
      <c r="C380" t="s">
        <v>855</v>
      </c>
      <c r="D380" t="s">
        <v>735</v>
      </c>
      <c r="E380" t="s">
        <v>906</v>
      </c>
    </row>
    <row r="381" spans="1:5">
      <c r="A381">
        <f>"PRACTICE-SC-[A] IS THE CONFIDENTIALITY OF CUI AT REST PROTECTED?"</f>
        <v>0</v>
      </c>
      <c r="B381" t="s">
        <v>846</v>
      </c>
      <c r="C381" t="s">
        <v>855</v>
      </c>
      <c r="D381" t="s">
        <v>736</v>
      </c>
      <c r="E381" t="s">
        <v>898</v>
      </c>
    </row>
    <row r="382" spans="1:5">
      <c r="A382">
        <f>"PRACTICE-SC-[A] IS THE EXTERNAL SYSTEM BOUNDARY DEFINED?"</f>
        <v>0</v>
      </c>
      <c r="B382" t="s">
        <v>846</v>
      </c>
      <c r="C382" t="s">
        <v>855</v>
      </c>
      <c r="D382" t="s">
        <v>728</v>
      </c>
      <c r="E382" t="s">
        <v>869</v>
      </c>
    </row>
    <row r="383" spans="1:5">
      <c r="A383">
        <f>"PRACTICE-SC-[A] IS UNAUTHORIZED AND UNINTENDED INFORMATION TRANSFER VIA SHARED SYSTEM RESOURCES PREVENTED?"</f>
        <v>0</v>
      </c>
      <c r="B383" t="s">
        <v>846</v>
      </c>
      <c r="C383" t="s">
        <v>855</v>
      </c>
      <c r="D383" t="s">
        <v>739</v>
      </c>
      <c r="E383" t="s">
        <v>908</v>
      </c>
    </row>
    <row r="384" spans="1:5">
      <c r="A384">
        <f>"PRACTICE-SC-[A] IS USE OF MOBILE CODE CONTROLLED?"</f>
        <v>0</v>
      </c>
      <c r="B384" t="s">
        <v>846</v>
      </c>
      <c r="C384" t="s">
        <v>855</v>
      </c>
      <c r="D384" t="s">
        <v>733</v>
      </c>
      <c r="E384" t="s">
        <v>837</v>
      </c>
    </row>
    <row r="385" spans="1:5">
      <c r="A385">
        <f>"PRACTICE-SC-[A] IS USE OF VOICE OVER INTERNET PROTOCOL (VOIP) TECHNOLOGIES CONTROLLED?"</f>
        <v>0</v>
      </c>
      <c r="B385" t="s">
        <v>846</v>
      </c>
      <c r="C385" t="s">
        <v>855</v>
      </c>
      <c r="D385" t="s">
        <v>734</v>
      </c>
      <c r="E385" t="s">
        <v>903</v>
      </c>
    </row>
    <row r="386" spans="1:5">
      <c r="A386">
        <f>"PRACTICE-SC-[A] IS USER FUNCTIONALITY IDENTIFIED?"</f>
        <v>0</v>
      </c>
      <c r="B386" t="s">
        <v>846</v>
      </c>
      <c r="C386" t="s">
        <v>855</v>
      </c>
      <c r="D386" t="s">
        <v>738</v>
      </c>
      <c r="E386" t="s">
        <v>909</v>
      </c>
    </row>
    <row r="387" spans="1:5">
      <c r="A387">
        <f>"PRACTICE-SC-[B] ARE ALTERNATIVE PHYSICAL SAFEGUARDS INTENDED TO PREVENT UNAUTHORIZED DISCLOSURE OF CUI  IDENTIFIED?"</f>
        <v>0</v>
      </c>
      <c r="B387" t="s">
        <v>846</v>
      </c>
      <c r="C387" t="s">
        <v>855</v>
      </c>
      <c r="D387" t="s">
        <v>742</v>
      </c>
      <c r="E387" t="s">
        <v>892</v>
      </c>
    </row>
    <row r="388" spans="1:5">
      <c r="A388">
        <f>"PRACTICE-SC-[B] ARE CRYPTOGRAPHIC KEYS MANAGED WHENEVER CRYPTOGRAPHY IS EMPLOYED?"</f>
        <v>0</v>
      </c>
      <c r="B388" t="s">
        <v>846</v>
      </c>
      <c r="C388" t="s">
        <v>855</v>
      </c>
      <c r="D388" t="s">
        <v>730</v>
      </c>
      <c r="E388" t="s">
        <v>813</v>
      </c>
    </row>
    <row r="389" spans="1:5">
      <c r="A389">
        <f>"PRACTICE-SC-[B] ARE KEY INTERNAL SYSTEM BOUNDARIES DEFINED?"</f>
        <v>0</v>
      </c>
      <c r="B389" t="s">
        <v>846</v>
      </c>
      <c r="C389" t="s">
        <v>855</v>
      </c>
      <c r="D389" t="s">
        <v>728</v>
      </c>
      <c r="E389" t="s">
        <v>834</v>
      </c>
    </row>
    <row r="390" spans="1:5">
      <c r="A390">
        <f>"PRACTICE-SC-[B] ARE NETWORK CONNECTIONS ASSOCIATED WITH COMMUNICATIONS SESSIONS TERMINATED AT THE END OF THE SESSIONS?"</f>
        <v>0</v>
      </c>
      <c r="B390" t="s">
        <v>846</v>
      </c>
      <c r="C390" t="s">
        <v>855</v>
      </c>
      <c r="D390" t="s">
        <v>743</v>
      </c>
      <c r="E390" t="s">
        <v>789</v>
      </c>
    </row>
    <row r="391" spans="1:5">
      <c r="A391">
        <f>"PRACTICE-SC-[B] ARE SOFTWARE DEVELOPMENT TECHNIQUES THAT PROMOTE EFFECTIVE INFORMATION SECURITY IDENTIFIED?"</f>
        <v>0</v>
      </c>
      <c r="B391" t="s">
        <v>846</v>
      </c>
      <c r="C391" t="s">
        <v>855</v>
      </c>
      <c r="D391" t="s">
        <v>737</v>
      </c>
      <c r="E391" t="s">
        <v>873</v>
      </c>
    </row>
    <row r="392" spans="1:5">
      <c r="A392">
        <f>"PRACTICE-SC-[B] ARE SUBNETWORKS FOR PUBLICLY ACCESSIBLE SYSTEM COMPONENTS PHYSICALLY OR LOGICALLY SEPARATED FROM INTERNAL NETWORKS?"</f>
        <v>0</v>
      </c>
      <c r="B392" t="s">
        <v>846</v>
      </c>
      <c r="C392" t="s">
        <v>855</v>
      </c>
      <c r="D392" t="s">
        <v>729</v>
      </c>
      <c r="E392" t="s">
        <v>816</v>
      </c>
    </row>
    <row r="393" spans="1:5">
      <c r="A393">
        <f>"PRACTICE-SC-[B] DO COLLABORATIVE COMPUTING DEVICES PROVIDE INDICATION TO USERS OF DEVICES IN USE?"</f>
        <v>0</v>
      </c>
      <c r="B393" t="s">
        <v>846</v>
      </c>
      <c r="C393" t="s">
        <v>855</v>
      </c>
      <c r="D393" t="s">
        <v>732</v>
      </c>
      <c r="E393" t="s">
        <v>842</v>
      </c>
    </row>
    <row r="394" spans="1:5">
      <c r="A394">
        <f>"PRACTICE-SC-[B] IS NETWORK COMMUNICATIONS TRAFFIC ALLOWED BY EXCEPTION?"</f>
        <v>0</v>
      </c>
      <c r="B394" t="s">
        <v>846</v>
      </c>
      <c r="C394" t="s">
        <v>855</v>
      </c>
      <c r="D394" t="s">
        <v>740</v>
      </c>
      <c r="E394" t="s">
        <v>910</v>
      </c>
    </row>
    <row r="395" spans="1:5">
      <c r="A395">
        <f>"PRACTICE-SC-[B] IS SYSTEM MANAGEMENT FUNCTIONALITY IDENTIFIED?"</f>
        <v>0</v>
      </c>
      <c r="B395" t="s">
        <v>846</v>
      </c>
      <c r="C395" t="s">
        <v>855</v>
      </c>
      <c r="D395" t="s">
        <v>738</v>
      </c>
      <c r="E395" t="s">
        <v>865</v>
      </c>
    </row>
    <row r="396" spans="1:5">
      <c r="A396">
        <f>"PRACTICE-SC-[B] IS USE OF MOBILE CODE MONITORED?"</f>
        <v>0</v>
      </c>
      <c r="B396" t="s">
        <v>846</v>
      </c>
      <c r="C396" t="s">
        <v>855</v>
      </c>
      <c r="D396" t="s">
        <v>733</v>
      </c>
      <c r="E396" t="s">
        <v>884</v>
      </c>
    </row>
    <row r="397" spans="1:5">
      <c r="A397">
        <f>"PRACTICE-SC-[B] IS USE OF VOICE OVER INTERNET PROTOCOL (VOIP) TECHNOLOGIES MONITORED?"</f>
        <v>0</v>
      </c>
      <c r="B397" t="s">
        <v>846</v>
      </c>
      <c r="C397" t="s">
        <v>855</v>
      </c>
      <c r="D397" t="s">
        <v>734</v>
      </c>
      <c r="E397" t="s">
        <v>856</v>
      </c>
    </row>
    <row r="398" spans="1:5">
      <c r="A398">
        <f>"PRACTICE-SC-[C] ARE COMMUNICATIONS MONITORED AT THE EXTERNAL SYSTEM BOUNDARY?"</f>
        <v>0</v>
      </c>
      <c r="B398" t="s">
        <v>846</v>
      </c>
      <c r="C398" t="s">
        <v>855</v>
      </c>
      <c r="D398" t="s">
        <v>728</v>
      </c>
      <c r="E398" t="s">
        <v>817</v>
      </c>
    </row>
    <row r="399" spans="1:5">
      <c r="A399">
        <f>"PRACTICE-SC-[C] ARE EITHER CRYPTOGRAPHIC MECHANISMS OR ALTERNATIVE PHYSICAL SAFEGUARDS IMPLEMENTED TO PREVENT UNAUTHORIZED DISCLOSURE OF CUI DURING TRANSMISSION?"</f>
        <v>0</v>
      </c>
      <c r="B399" t="s">
        <v>846</v>
      </c>
      <c r="C399" t="s">
        <v>855</v>
      </c>
      <c r="D399" t="s">
        <v>742</v>
      </c>
      <c r="E399" t="s">
        <v>784</v>
      </c>
    </row>
    <row r="400" spans="1:5">
      <c r="A400">
        <f>"PRACTICE-SC-[C] ARE NETWORK CONNECTIONS ASSOCIATED WITH COMMUNICATIONS SESSIONS TERMINATED AFTER THE DEFINED PERIOD OF INACTIVITY?"</f>
        <v>0</v>
      </c>
      <c r="B400" t="s">
        <v>846</v>
      </c>
      <c r="C400" t="s">
        <v>855</v>
      </c>
      <c r="D400" t="s">
        <v>743</v>
      </c>
      <c r="E400" t="s">
        <v>911</v>
      </c>
    </row>
    <row r="401" spans="1:5">
      <c r="A401">
        <f>"PRACTICE-SC-[C] ARE SYSTEMS ENGINEERING PRINCIPLES THAT PROMOTE EFFECTIVE INFORMATION SECURITY IDENTIFIED?"</f>
        <v>0</v>
      </c>
      <c r="B401" t="s">
        <v>846</v>
      </c>
      <c r="C401" t="s">
        <v>855</v>
      </c>
      <c r="D401" t="s">
        <v>737</v>
      </c>
      <c r="E401" t="s">
        <v>787</v>
      </c>
    </row>
    <row r="402" spans="1:5">
      <c r="A402">
        <f>"PRACTICE-SC-[C] IS REMOTE ACTIVATION OF COLLABORATIVE COMPUTING DEVICES PROHIBITED?"</f>
        <v>0</v>
      </c>
      <c r="B402" t="s">
        <v>846</v>
      </c>
      <c r="C402" t="s">
        <v>855</v>
      </c>
      <c r="D402" t="s">
        <v>732</v>
      </c>
      <c r="E402" t="s">
        <v>838</v>
      </c>
    </row>
    <row r="403" spans="1:5">
      <c r="A403">
        <f>"PRACTICE-SC-[C] IS USER FUNCTIONALITY SEPARATED FROM SYSTEM MANAGEMENT FUNCTIONALITY?"</f>
        <v>0</v>
      </c>
      <c r="B403" t="s">
        <v>846</v>
      </c>
      <c r="C403" t="s">
        <v>855</v>
      </c>
      <c r="D403" t="s">
        <v>738</v>
      </c>
      <c r="E403" t="s">
        <v>886</v>
      </c>
    </row>
    <row r="404" spans="1:5">
      <c r="A404">
        <f>"PRACTICE-SC-[D] ARE COMMUNICATIONS MONITORED AT KEY INTERNAL BOUNDARIES?"</f>
        <v>0</v>
      </c>
      <c r="B404" t="s">
        <v>846</v>
      </c>
      <c r="C404" t="s">
        <v>855</v>
      </c>
      <c r="D404" t="s">
        <v>728</v>
      </c>
      <c r="E404" t="s">
        <v>827</v>
      </c>
    </row>
    <row r="405" spans="1:5">
      <c r="A405">
        <f>"PRACTICE-SC-[D] ARE IDENTIFIED ARCHITECTURAL DESIGNS THAT PROMOTE EFFECTIVE INFORMATION SECURITY EMPLOYED?"</f>
        <v>0</v>
      </c>
      <c r="B405" t="s">
        <v>846</v>
      </c>
      <c r="C405" t="s">
        <v>855</v>
      </c>
      <c r="D405" t="s">
        <v>737</v>
      </c>
      <c r="E405" t="s">
        <v>904</v>
      </c>
    </row>
    <row r="406" spans="1:5">
      <c r="A406">
        <f>"PRACTICE-SC-[E] ARE COMMUNICATIONS CONTROLLED AT THE EXTERNAL SYSTEM BOUNDARY?"</f>
        <v>0</v>
      </c>
      <c r="B406" t="s">
        <v>846</v>
      </c>
      <c r="C406" t="s">
        <v>855</v>
      </c>
      <c r="D406" t="s">
        <v>728</v>
      </c>
      <c r="E406" t="s">
        <v>805</v>
      </c>
    </row>
    <row r="407" spans="1:5">
      <c r="A407">
        <f>"PRACTICE-SC-[E] ARE IDENTIFIED SOFTWARE DEVELOPMENT TECHNIQUES THAT PROMOTE EFFECTIVE INFORMATION SECURITY EMPLOYED? "</f>
        <v>0</v>
      </c>
      <c r="B407" t="s">
        <v>846</v>
      </c>
      <c r="C407" t="s">
        <v>855</v>
      </c>
      <c r="D407" t="s">
        <v>737</v>
      </c>
      <c r="E407" t="s">
        <v>810</v>
      </c>
    </row>
    <row r="408" spans="1:5">
      <c r="A408">
        <f>"PRACTICE-SC-[F] ARE COMMUNICATIONS CONTROLLED AT KEY INTERNAL BOUNDARIES?"</f>
        <v>0</v>
      </c>
      <c r="B408" t="s">
        <v>846</v>
      </c>
      <c r="C408" t="s">
        <v>855</v>
      </c>
      <c r="D408" t="s">
        <v>728</v>
      </c>
      <c r="E408" t="s">
        <v>902</v>
      </c>
    </row>
    <row r="409" spans="1:5">
      <c r="A409">
        <f>"PRACTICE-SC-[F] ARE IDENTIFIED SYSTEMS ENGINEERING PRINCIPLES THAT PROMOTE EFFECTIVE INFORMATION SECURITY EMPLOYED?"</f>
        <v>0</v>
      </c>
      <c r="B409" t="s">
        <v>846</v>
      </c>
      <c r="C409" t="s">
        <v>855</v>
      </c>
      <c r="D409" t="s">
        <v>737</v>
      </c>
      <c r="E409" t="s">
        <v>859</v>
      </c>
    </row>
    <row r="410" spans="1:5">
      <c r="A410">
        <f>"PRACTICE-SC-[G] ARE COMMUNICATIONS PROTECTED AT THE EXTERNAL SYSTEM BOUNDARY?"</f>
        <v>0</v>
      </c>
      <c r="B410" t="s">
        <v>846</v>
      </c>
      <c r="C410" t="s">
        <v>855</v>
      </c>
      <c r="D410" t="s">
        <v>728</v>
      </c>
      <c r="E410" t="s">
        <v>790</v>
      </c>
    </row>
    <row r="411" spans="1:5">
      <c r="A411">
        <f>"PRACTICE-SC-[H] ARE COMMUNICATIONS PROTECTED AT KEY INTERNAL BOUNDARIES?"</f>
        <v>0</v>
      </c>
      <c r="B411" t="s">
        <v>846</v>
      </c>
      <c r="C411" t="s">
        <v>855</v>
      </c>
      <c r="D411" t="s">
        <v>728</v>
      </c>
      <c r="E411" t="s">
        <v>831</v>
      </c>
    </row>
    <row r="412" spans="1:5">
      <c r="A412">
        <f>"PRACTICE-SI-[A] ARE DESIGNATED LOCATIONS FOR MALICIOUS CODE PROTECTION IDENTIFIED?"</f>
        <v>0</v>
      </c>
      <c r="B412" t="s">
        <v>854</v>
      </c>
      <c r="C412" t="s">
        <v>855</v>
      </c>
      <c r="D412" t="s">
        <v>722</v>
      </c>
      <c r="E412" t="s">
        <v>825</v>
      </c>
    </row>
    <row r="413" spans="1:5">
      <c r="A413">
        <f>"PRACTICE-SI-[A] ARE MALICIOUS CODE PROTECTION MECHANISMS UPDATED WHEN NEW RELEASES ARE AVAILABLE?"</f>
        <v>0</v>
      </c>
      <c r="B413" t="s">
        <v>854</v>
      </c>
      <c r="C413" t="s">
        <v>855</v>
      </c>
      <c r="D413" t="s">
        <v>723</v>
      </c>
      <c r="E413" t="s">
        <v>828</v>
      </c>
    </row>
    <row r="414" spans="1:5">
      <c r="A414">
        <f>"PRACTICE-SI-[A] ARE RESPONSE ACTIONS TO SYSTEM SECURITY ALERTS AND ADVISORIES IDENTIFIED?"</f>
        <v>0</v>
      </c>
      <c r="B414" t="s">
        <v>854</v>
      </c>
      <c r="C414" t="s">
        <v>855</v>
      </c>
      <c r="D414" t="s">
        <v>725</v>
      </c>
      <c r="E414" t="s">
        <v>877</v>
      </c>
    </row>
    <row r="415" spans="1:5">
      <c r="A415">
        <f>"PRACTICE-SI-[A] IS AUTHORIZED USE OF THE SYSTEM DEFINED?"</f>
        <v>0</v>
      </c>
      <c r="B415" t="s">
        <v>854</v>
      </c>
      <c r="C415" t="s">
        <v>855</v>
      </c>
      <c r="D415" t="s">
        <v>727</v>
      </c>
      <c r="E415" t="s">
        <v>903</v>
      </c>
    </row>
    <row r="416" spans="1:5">
      <c r="A416">
        <f>"PRACTICE-SI-[A] IS THE FREQUENCY FOR MALICIOUS CODE SCANS DEFINED?"</f>
        <v>0</v>
      </c>
      <c r="B416" t="s">
        <v>854</v>
      </c>
      <c r="C416" t="s">
        <v>855</v>
      </c>
      <c r="D416" t="s">
        <v>724</v>
      </c>
      <c r="E416" t="s">
        <v>822</v>
      </c>
    </row>
    <row r="417" spans="1:5">
      <c r="A417">
        <f>"PRACTICE-SI-[A] IS THE SYSTEM MONITORED TO DETECT ATTACKS AND INDICATORS OF POTENTIAL ATTACKS?"</f>
        <v>0</v>
      </c>
      <c r="B417" t="s">
        <v>854</v>
      </c>
      <c r="C417" t="s">
        <v>855</v>
      </c>
      <c r="D417" t="s">
        <v>726</v>
      </c>
      <c r="E417" t="s">
        <v>907</v>
      </c>
    </row>
    <row r="418" spans="1:5">
      <c r="A418">
        <f>"PRACTICE-SI-[A] IS THE TIME WITHIN WHICH TO IDENTIFY SYSTEM FLAWS SPECIFIED?"</f>
        <v>0</v>
      </c>
      <c r="B418" t="s">
        <v>854</v>
      </c>
      <c r="C418" t="s">
        <v>855</v>
      </c>
      <c r="D418" t="s">
        <v>721</v>
      </c>
      <c r="E418" t="s">
        <v>869</v>
      </c>
    </row>
    <row r="419" spans="1:5">
      <c r="A419">
        <f>"PRACTICE-SI-[B] ARE MALICIOUS CODE SCANS PERFORMED WITH THE DEFINED FREQUENCY?"</f>
        <v>0</v>
      </c>
      <c r="B419" t="s">
        <v>854</v>
      </c>
      <c r="C419" t="s">
        <v>855</v>
      </c>
      <c r="D419" t="s">
        <v>724</v>
      </c>
      <c r="E419" t="s">
        <v>843</v>
      </c>
    </row>
    <row r="420" spans="1:5">
      <c r="A420">
        <f>"PRACTICE-SI-[B] ARE SYSTEM FLAWS IDENTIFIED WITHIN THE SPECIFIED TIME FRAME?"</f>
        <v>0</v>
      </c>
      <c r="B420" t="s">
        <v>854</v>
      </c>
      <c r="C420" t="s">
        <v>855</v>
      </c>
      <c r="D420" t="s">
        <v>721</v>
      </c>
      <c r="E420" t="s">
        <v>834</v>
      </c>
    </row>
    <row r="421" spans="1:5">
      <c r="A421">
        <f>"PRACTICE-SI-[B] ARE SYSTEM SECURITY ALERTS AND ADVISORIES MONITORED?"</f>
        <v>0</v>
      </c>
      <c r="B421" t="s">
        <v>854</v>
      </c>
      <c r="C421" t="s">
        <v>855</v>
      </c>
      <c r="D421" t="s">
        <v>725</v>
      </c>
      <c r="E421" t="s">
        <v>829</v>
      </c>
    </row>
    <row r="422" spans="1:5">
      <c r="A422">
        <f>"PRACTICE-SI-[B] IS INBOUND COMMUNICATIONS TRAFFIC MONITORED TO DETECT ATTACKS AND INDICATORS OF POTENTIAL ATTACKS?"</f>
        <v>0</v>
      </c>
      <c r="B422" t="s">
        <v>854</v>
      </c>
      <c r="C422" t="s">
        <v>855</v>
      </c>
      <c r="D422" t="s">
        <v>726</v>
      </c>
      <c r="E422" t="s">
        <v>837</v>
      </c>
    </row>
    <row r="423" spans="1:5">
      <c r="A423">
        <f>"PRACTICE-SI-[B] IS PROTECTION FROM MALICIOUS CODE AT DESIGNATED LOCATIONS PROVIDED?"</f>
        <v>0</v>
      </c>
      <c r="B423" t="s">
        <v>854</v>
      </c>
      <c r="C423" t="s">
        <v>855</v>
      </c>
      <c r="D423" t="s">
        <v>722</v>
      </c>
      <c r="E423" t="s">
        <v>806</v>
      </c>
    </row>
    <row r="424" spans="1:5">
      <c r="A424">
        <f>"PRACTICE-SI-[B] IS UNAUTHORIZED USE OF THE SYSTEM IDENTIFIED?"</f>
        <v>0</v>
      </c>
      <c r="B424" t="s">
        <v>854</v>
      </c>
      <c r="C424" t="s">
        <v>855</v>
      </c>
      <c r="D424" t="s">
        <v>727</v>
      </c>
      <c r="E424" t="s">
        <v>856</v>
      </c>
    </row>
    <row r="425" spans="1:5">
      <c r="A425">
        <f>"PRACTICE-SI-[C] ARE ACTIONS IN RESPONSE TO SYSTEM SECURITY ALERTS AND ADVISORIES TAKEN?"</f>
        <v>0</v>
      </c>
      <c r="B425" t="s">
        <v>854</v>
      </c>
      <c r="C425" t="s">
        <v>855</v>
      </c>
      <c r="D425" t="s">
        <v>725</v>
      </c>
      <c r="E425" t="s">
        <v>842</v>
      </c>
    </row>
    <row r="426" spans="1:5">
      <c r="A426">
        <f>"PRACTICE-SI-[C] ARE REAL-TIME MALICIOUS CODE SCANS OF FILES FROM EXTERNAL SOURCES PERFORMED AS FILES ARE DOWNLOADED, OPENED, OR EXECUTED?"</f>
        <v>0</v>
      </c>
      <c r="B426" t="s">
        <v>854</v>
      </c>
      <c r="C426" t="s">
        <v>855</v>
      </c>
      <c r="D426" t="s">
        <v>724</v>
      </c>
      <c r="E426" t="s">
        <v>803</v>
      </c>
    </row>
    <row r="427" spans="1:5">
      <c r="A427">
        <f>"PRACTICE-SI-[C] IS OUTBOUND COMMUNICATIONS TRAFFIC MONITORED TO DETECT ATTACKS AND INDICATORS OF POTENTIAL ATTACKS?"</f>
        <v>0</v>
      </c>
      <c r="B427" t="s">
        <v>854</v>
      </c>
      <c r="C427" t="s">
        <v>855</v>
      </c>
      <c r="D427" t="s">
        <v>726</v>
      </c>
      <c r="E427" t="s">
        <v>884</v>
      </c>
    </row>
    <row r="428" spans="1:5">
      <c r="A428">
        <f>"PRACTICE-SI-[C] IS THE TIME WITHIN WHICH TO REPORT SYSTEM FLAWS SPECIFIED?"</f>
        <v>0</v>
      </c>
      <c r="B428" t="s">
        <v>854</v>
      </c>
      <c r="C428" t="s">
        <v>855</v>
      </c>
      <c r="D428" t="s">
        <v>721</v>
      </c>
      <c r="E428" t="s">
        <v>817</v>
      </c>
    </row>
    <row r="429" spans="1:5">
      <c r="A429">
        <f>"PRACTICE-SI-[D] ARE SYSTEM FLAWS REPORTED WITHIN THE SPECIFIED TIME FRAME?"</f>
        <v>0</v>
      </c>
      <c r="B429" t="s">
        <v>854</v>
      </c>
      <c r="C429" t="s">
        <v>855</v>
      </c>
      <c r="D429" t="s">
        <v>721</v>
      </c>
      <c r="E429" t="s">
        <v>827</v>
      </c>
    </row>
    <row r="430" spans="1:5">
      <c r="A430">
        <f>"PRACTICE-SI-[E] IS THE TIME WITHIN WHICH TO CORRECT SYSTEM FLAWS SPECIFIED?"</f>
        <v>0</v>
      </c>
      <c r="B430" t="s">
        <v>854</v>
      </c>
      <c r="C430" t="s">
        <v>855</v>
      </c>
      <c r="D430" t="s">
        <v>721</v>
      </c>
      <c r="E430" t="s">
        <v>805</v>
      </c>
    </row>
    <row r="431" spans="1:5">
      <c r="A431">
        <f>"PRACTICE-SI-[F] ARE SYSTEM FLAWS CORRECTED WITHIN THE SPECIFIED TIME FRAME?"</f>
        <v>0</v>
      </c>
      <c r="B431" t="s">
        <v>854</v>
      </c>
      <c r="C431" t="s">
        <v>855</v>
      </c>
      <c r="D431" t="s">
        <v>721</v>
      </c>
      <c r="E431" t="s">
        <v>902</v>
      </c>
    </row>
    <row r="432" spans="1:5">
      <c r="A432">
        <f>"PROCESS-AC-ARE PRACTICE IMPLEMENTATIONS DOCUMENTED?"</f>
        <v>0</v>
      </c>
      <c r="B432" t="s">
        <v>780</v>
      </c>
      <c r="C432" t="s">
        <v>912</v>
      </c>
      <c r="D432">
        <v>998</v>
      </c>
      <c r="E432" t="s">
        <v>913</v>
      </c>
    </row>
    <row r="433" spans="1:5">
      <c r="A433">
        <f>"PROCESS-AC-DOES YOUR SYSTEM SECURE PLAN (SSP) CONTAIN COMPLETED DOCUMENTATION FOR THIS DOMAIN?"</f>
        <v>0</v>
      </c>
      <c r="B433" t="s">
        <v>780</v>
      </c>
      <c r="C433" t="s">
        <v>912</v>
      </c>
      <c r="D433">
        <v>997</v>
      </c>
      <c r="E433" t="s">
        <v>914</v>
      </c>
    </row>
    <row r="434" spans="1:5">
      <c r="A434">
        <f>"PROCESS-AC-IS A POLICY DEFINED FOR THIS DOMAIN?"</f>
        <v>0</v>
      </c>
      <c r="B434" t="s">
        <v>780</v>
      </c>
      <c r="C434" t="s">
        <v>912</v>
      </c>
      <c r="D434" t="s">
        <v>751</v>
      </c>
      <c r="E434" t="s">
        <v>915</v>
      </c>
    </row>
    <row r="435" spans="1:5">
      <c r="A435">
        <f>"PROCESS-AT-ARE PRACTICE IMPLEMENTATIONS DOCUMENTED?"</f>
        <v>0</v>
      </c>
      <c r="B435" t="s">
        <v>804</v>
      </c>
      <c r="C435" t="s">
        <v>912</v>
      </c>
      <c r="D435">
        <v>998</v>
      </c>
      <c r="E435" t="s">
        <v>803</v>
      </c>
    </row>
    <row r="436" spans="1:5">
      <c r="A436">
        <f>"PROCESS-AT-DOES YOUR SYSTEM SECURE PLAN (SSP) CONTAIN COMPLETED DOCUMENTATION FOR THIS DOMAIN?"</f>
        <v>0</v>
      </c>
      <c r="B436" t="s">
        <v>804</v>
      </c>
      <c r="C436" t="s">
        <v>912</v>
      </c>
      <c r="D436">
        <v>997</v>
      </c>
      <c r="E436" t="s">
        <v>819</v>
      </c>
    </row>
    <row r="437" spans="1:5">
      <c r="A437">
        <f>"PROCESS-AT-IS A POLICY DEFINED FOR THIS DOMAIN?"</f>
        <v>0</v>
      </c>
      <c r="B437" t="s">
        <v>804</v>
      </c>
      <c r="C437" t="s">
        <v>912</v>
      </c>
      <c r="D437" t="s">
        <v>751</v>
      </c>
      <c r="E437" t="s">
        <v>822</v>
      </c>
    </row>
    <row r="438" spans="1:5">
      <c r="A438">
        <f>"PROCESS-AU-ARE PRACTICE IMPLEMENTATIONS DOCUMENTED?"</f>
        <v>0</v>
      </c>
      <c r="B438" t="s">
        <v>808</v>
      </c>
      <c r="C438" t="s">
        <v>912</v>
      </c>
      <c r="D438">
        <v>998</v>
      </c>
      <c r="E438" t="s">
        <v>909</v>
      </c>
    </row>
    <row r="439" spans="1:5">
      <c r="A439">
        <f>"PROCESS-AU-DOES YOUR SYSTEM SECURE PLAN (SSP) CONTAIN COMPLETED DOCUMENTATION FOR THIS DOMAIN?"</f>
        <v>0</v>
      </c>
      <c r="B439" t="s">
        <v>808</v>
      </c>
      <c r="C439" t="s">
        <v>912</v>
      </c>
      <c r="D439">
        <v>997</v>
      </c>
      <c r="E439" t="s">
        <v>886</v>
      </c>
    </row>
    <row r="440" spans="1:5">
      <c r="A440">
        <f>"PROCESS-AU-IS A POLICY DEFINED FOR THIS DOMAIN?"</f>
        <v>0</v>
      </c>
      <c r="B440" t="s">
        <v>808</v>
      </c>
      <c r="C440" t="s">
        <v>912</v>
      </c>
      <c r="D440" t="s">
        <v>751</v>
      </c>
      <c r="E440" t="s">
        <v>798</v>
      </c>
    </row>
    <row r="441" spans="1:5">
      <c r="A441">
        <f>"PROCESS-CA-ARE PRACTICE IMPLEMENTATIONS DOCUMENTED?"</f>
        <v>0</v>
      </c>
      <c r="B441" t="s">
        <v>814</v>
      </c>
      <c r="C441" t="s">
        <v>912</v>
      </c>
      <c r="D441">
        <v>998</v>
      </c>
      <c r="E441" t="s">
        <v>785</v>
      </c>
    </row>
    <row r="442" spans="1:5">
      <c r="A442">
        <f>"PROCESS-CA-DOES YOUR SYSTEM SECURE PLAN (SSP) CONTAIN COMPLETED DOCUMENTATION FOR THIS DOMAIN?"</f>
        <v>0</v>
      </c>
      <c r="B442" t="s">
        <v>814</v>
      </c>
      <c r="C442" t="s">
        <v>912</v>
      </c>
      <c r="D442">
        <v>997</v>
      </c>
      <c r="E442" t="s">
        <v>907</v>
      </c>
    </row>
    <row r="443" spans="1:5">
      <c r="A443">
        <f>"PROCESS-CA-IS A POLICY DEFINED FOR THIS DOMAIN?"</f>
        <v>0</v>
      </c>
      <c r="B443" t="s">
        <v>814</v>
      </c>
      <c r="C443" t="s">
        <v>912</v>
      </c>
      <c r="D443" t="s">
        <v>751</v>
      </c>
      <c r="E443" t="s">
        <v>842</v>
      </c>
    </row>
    <row r="444" spans="1:5">
      <c r="A444">
        <f>"PROCESS-CM-ARE PRACTICE IMPLEMENTATIONS DOCUMENTED?"</f>
        <v>0</v>
      </c>
      <c r="B444" t="s">
        <v>818</v>
      </c>
      <c r="C444" t="s">
        <v>912</v>
      </c>
      <c r="D444">
        <v>998</v>
      </c>
      <c r="E444" t="s">
        <v>796</v>
      </c>
    </row>
    <row r="445" spans="1:5">
      <c r="A445">
        <f>"PROCESS-CM-DOES YOUR SYSTEM SECURE PLAN (SSP) CONTAIN COMPLETED DOCUMENTATION FOR THIS DOMAIN?"</f>
        <v>0</v>
      </c>
      <c r="B445" t="s">
        <v>818</v>
      </c>
      <c r="C445" t="s">
        <v>912</v>
      </c>
      <c r="D445">
        <v>997</v>
      </c>
      <c r="E445" t="s">
        <v>916</v>
      </c>
    </row>
    <row r="446" spans="1:5">
      <c r="A446">
        <f>"PROCESS-CM-IS A POLICY DEFINED FOR THIS DOMAIN?"</f>
        <v>0</v>
      </c>
      <c r="B446" t="s">
        <v>818</v>
      </c>
      <c r="C446" t="s">
        <v>912</v>
      </c>
      <c r="D446" t="s">
        <v>751</v>
      </c>
      <c r="E446" t="s">
        <v>871</v>
      </c>
    </row>
    <row r="447" spans="1:5">
      <c r="A447">
        <f>"PROCESS-IA-ARE PRACTICE IMPLEMENTATIONS DOCUMENTED?"</f>
        <v>0</v>
      </c>
      <c r="B447" t="s">
        <v>823</v>
      </c>
      <c r="C447" t="s">
        <v>912</v>
      </c>
      <c r="D447">
        <v>998</v>
      </c>
      <c r="E447" t="s">
        <v>886</v>
      </c>
    </row>
    <row r="448" spans="1:5">
      <c r="A448">
        <f>"PROCESS-IA-DOES YOUR SYSTEM SECURE PLAN (SSP) CONTAIN COMPLETED DOCUMENTATION FOR THIS DOMAIN?"</f>
        <v>0</v>
      </c>
      <c r="B448" t="s">
        <v>823</v>
      </c>
      <c r="C448" t="s">
        <v>912</v>
      </c>
      <c r="D448">
        <v>997</v>
      </c>
      <c r="E448" t="s">
        <v>820</v>
      </c>
    </row>
    <row r="449" spans="1:5">
      <c r="A449">
        <f>"PROCESS-IA-IS A POLICY DEFINED FOR THIS DOMAIN?"</f>
        <v>0</v>
      </c>
      <c r="B449" t="s">
        <v>823</v>
      </c>
      <c r="C449" t="s">
        <v>912</v>
      </c>
      <c r="D449" t="s">
        <v>751</v>
      </c>
      <c r="E449" t="s">
        <v>909</v>
      </c>
    </row>
    <row r="450" spans="1:5">
      <c r="A450">
        <f>"PROCESS-IR-ARE PRACTICE IMPLEMENTATIONS DOCUMENTED?"</f>
        <v>0</v>
      </c>
      <c r="B450" t="s">
        <v>830</v>
      </c>
      <c r="C450" t="s">
        <v>912</v>
      </c>
      <c r="D450">
        <v>998</v>
      </c>
      <c r="E450" t="s">
        <v>829</v>
      </c>
    </row>
    <row r="451" spans="1:5">
      <c r="A451">
        <f>"PROCESS-IR-DOES YOUR SYSTEM SECURE PLAN (SSP) CONTAIN COMPLETED DOCUMENTATION FOR THIS DOMAIN?"</f>
        <v>0</v>
      </c>
      <c r="B451" t="s">
        <v>830</v>
      </c>
      <c r="C451" t="s">
        <v>912</v>
      </c>
      <c r="D451">
        <v>997</v>
      </c>
      <c r="E451" t="s">
        <v>838</v>
      </c>
    </row>
    <row r="452" spans="1:5">
      <c r="A452">
        <f>"PROCESS-IR-IS A POLICY DEFINED FOR THIS DOMAIN?"</f>
        <v>0</v>
      </c>
      <c r="B452" t="s">
        <v>830</v>
      </c>
      <c r="C452" t="s">
        <v>912</v>
      </c>
      <c r="D452" t="s">
        <v>751</v>
      </c>
      <c r="E452" t="s">
        <v>809</v>
      </c>
    </row>
    <row r="453" spans="1:5">
      <c r="A453">
        <f>"PROCESS-MA-ARE PRACTICE IMPLEMENTATIONS DOCUMENTED?"</f>
        <v>0</v>
      </c>
      <c r="B453" t="s">
        <v>833</v>
      </c>
      <c r="C453" t="s">
        <v>912</v>
      </c>
      <c r="D453">
        <v>998</v>
      </c>
      <c r="E453" t="s">
        <v>907</v>
      </c>
    </row>
    <row r="454" spans="1:5">
      <c r="A454">
        <f>"PROCESS-MA-DOES YOUR SYSTEM SECURE PLAN (SSP) CONTAIN COMPLETED DOCUMENTATION FOR THIS DOMAIN?"</f>
        <v>0</v>
      </c>
      <c r="B454" t="s">
        <v>833</v>
      </c>
      <c r="C454" t="s">
        <v>912</v>
      </c>
      <c r="D454">
        <v>997</v>
      </c>
      <c r="E454" t="s">
        <v>884</v>
      </c>
    </row>
    <row r="455" spans="1:5">
      <c r="A455">
        <f>"PROCESS-MA-IS A POLICY DEFINED FOR THIS DOMAIN?"</f>
        <v>0</v>
      </c>
      <c r="B455" t="s">
        <v>833</v>
      </c>
      <c r="C455" t="s">
        <v>912</v>
      </c>
      <c r="D455" t="s">
        <v>751</v>
      </c>
      <c r="E455" t="s">
        <v>785</v>
      </c>
    </row>
    <row r="456" spans="1:5">
      <c r="A456">
        <f>"PROCESS-MP-ARE PRACTICE IMPLEMENTATIONS DOCUMENTED?"</f>
        <v>0</v>
      </c>
      <c r="B456" t="s">
        <v>836</v>
      </c>
      <c r="C456" t="s">
        <v>912</v>
      </c>
      <c r="D456">
        <v>998</v>
      </c>
      <c r="E456" t="s">
        <v>894</v>
      </c>
    </row>
    <row r="457" spans="1:5">
      <c r="A457">
        <f>"PROCESS-MP-DOES YOUR SYSTEM SECURE PLAN (SSP) CONTAIN COMPLETED DOCUMENTATION FOR THIS DOMAIN?"</f>
        <v>0</v>
      </c>
      <c r="B457" t="s">
        <v>836</v>
      </c>
      <c r="C457" t="s">
        <v>912</v>
      </c>
      <c r="D457">
        <v>997</v>
      </c>
      <c r="E457" t="s">
        <v>794</v>
      </c>
    </row>
    <row r="458" spans="1:5">
      <c r="A458">
        <f>"PROCESS-MP-IS A POLICY DEFINED FOR THIS DOMAIN?"</f>
        <v>0</v>
      </c>
      <c r="B458" t="s">
        <v>836</v>
      </c>
      <c r="C458" t="s">
        <v>912</v>
      </c>
      <c r="D458" t="s">
        <v>751</v>
      </c>
      <c r="E458" t="s">
        <v>851</v>
      </c>
    </row>
    <row r="459" spans="1:5">
      <c r="A459">
        <f>"PROCESS-PE-ARE PRACTICE IMPLEMENTATIONS DOCUMENTED?"</f>
        <v>0</v>
      </c>
      <c r="B459" t="s">
        <v>841</v>
      </c>
      <c r="C459" t="s">
        <v>912</v>
      </c>
      <c r="D459">
        <v>998</v>
      </c>
      <c r="E459" t="s">
        <v>903</v>
      </c>
    </row>
    <row r="460" spans="1:5">
      <c r="A460">
        <f>"PROCESS-PE-DOES YOUR SYSTEM SECURE PLAN (SSP) CONTAIN COMPLETED DOCUMENTATION FOR THIS DOMAIN?"</f>
        <v>0</v>
      </c>
      <c r="B460" t="s">
        <v>841</v>
      </c>
      <c r="C460" t="s">
        <v>912</v>
      </c>
      <c r="D460">
        <v>997</v>
      </c>
      <c r="E460" t="s">
        <v>821</v>
      </c>
    </row>
    <row r="461" spans="1:5">
      <c r="A461">
        <f>"PROCESS-PE-IS A POLICY DEFINED FOR THIS DOMAIN?"</f>
        <v>0</v>
      </c>
      <c r="B461" t="s">
        <v>841</v>
      </c>
      <c r="C461" t="s">
        <v>912</v>
      </c>
      <c r="D461" t="s">
        <v>751</v>
      </c>
      <c r="E461" t="s">
        <v>802</v>
      </c>
    </row>
    <row r="462" spans="1:5">
      <c r="A462">
        <f>"PROCESS-PS-ARE PRACTICE IMPLEMENTATIONS DOCUMENTED?"</f>
        <v>0</v>
      </c>
      <c r="B462" t="s">
        <v>844</v>
      </c>
      <c r="C462" t="s">
        <v>912</v>
      </c>
      <c r="D462">
        <v>998</v>
      </c>
      <c r="E462" t="s">
        <v>816</v>
      </c>
    </row>
    <row r="463" spans="1:5">
      <c r="A463">
        <f>"PROCESS-PS-DOES YOUR SYSTEM SECURE PLAN (SSP) CONTAIN COMPLETED DOCUMENTATION FOR THIS DOMAIN?"</f>
        <v>0</v>
      </c>
      <c r="B463" t="s">
        <v>844</v>
      </c>
      <c r="C463" t="s">
        <v>912</v>
      </c>
      <c r="D463">
        <v>997</v>
      </c>
      <c r="E463" t="s">
        <v>828</v>
      </c>
    </row>
    <row r="464" spans="1:5">
      <c r="A464">
        <f>"PROCESS-PS-IS A POLICY DEFINED FOR THIS DOMAIN?"</f>
        <v>0</v>
      </c>
      <c r="B464" t="s">
        <v>844</v>
      </c>
      <c r="C464" t="s">
        <v>912</v>
      </c>
      <c r="D464" t="s">
        <v>751</v>
      </c>
      <c r="E464" t="s">
        <v>806</v>
      </c>
    </row>
    <row r="465" spans="1:5">
      <c r="A465">
        <f>"PROCESS-RA-ARE PRACTICE IMPLEMENTATIONS DOCUMENTED?"</f>
        <v>0</v>
      </c>
      <c r="B465" t="s">
        <v>845</v>
      </c>
      <c r="C465" t="s">
        <v>912</v>
      </c>
      <c r="D465">
        <v>998</v>
      </c>
      <c r="E465" t="s">
        <v>803</v>
      </c>
    </row>
    <row r="466" spans="1:5">
      <c r="A466">
        <f>"PROCESS-RA-DOES YOUR SYSTEM SECURE PLAN (SSP) CONTAIN COMPLETED DOCUMENTATION FOR THIS DOMAIN?"</f>
        <v>0</v>
      </c>
      <c r="B466" t="s">
        <v>845</v>
      </c>
      <c r="C466" t="s">
        <v>912</v>
      </c>
      <c r="D466">
        <v>997</v>
      </c>
      <c r="E466" t="s">
        <v>819</v>
      </c>
    </row>
    <row r="467" spans="1:5">
      <c r="A467">
        <f>"PROCESS-RA-IS A POLICY DEFINED FOR THIS DOMAIN?"</f>
        <v>0</v>
      </c>
      <c r="B467" t="s">
        <v>845</v>
      </c>
      <c r="C467" t="s">
        <v>912</v>
      </c>
      <c r="D467" t="s">
        <v>751</v>
      </c>
      <c r="E467" t="s">
        <v>822</v>
      </c>
    </row>
    <row r="468" spans="1:5">
      <c r="A468">
        <f>"PROCESS-SC-ARE PRACTICE IMPLEMENTATIONS DOCUMENTED?"</f>
        <v>0</v>
      </c>
      <c r="B468" t="s">
        <v>846</v>
      </c>
      <c r="C468" t="s">
        <v>912</v>
      </c>
      <c r="D468">
        <v>998</v>
      </c>
      <c r="E468" t="s">
        <v>917</v>
      </c>
    </row>
    <row r="469" spans="1:5">
      <c r="A469">
        <f>"PROCESS-SC-DOES YOUR SYSTEM SECURE PLAN (SSP) CONTAIN COMPLETED DOCUMENTATION FOR THIS DOMAIN?"</f>
        <v>0</v>
      </c>
      <c r="B469" t="s">
        <v>846</v>
      </c>
      <c r="C469" t="s">
        <v>912</v>
      </c>
      <c r="D469">
        <v>997</v>
      </c>
      <c r="E469" t="s">
        <v>858</v>
      </c>
    </row>
    <row r="470" spans="1:5">
      <c r="A470">
        <f>"PROCESS-SC-IS A POLICY DEFINED FOR THIS DOMAIN?"</f>
        <v>0</v>
      </c>
      <c r="B470" t="s">
        <v>846</v>
      </c>
      <c r="C470" t="s">
        <v>912</v>
      </c>
      <c r="D470" t="s">
        <v>751</v>
      </c>
      <c r="E470" t="s">
        <v>896</v>
      </c>
    </row>
    <row r="471" spans="1:5">
      <c r="A471">
        <f>"PROCESS-SI-ARE PRACTICE IMPLEMENTATIONS DOCUMENTED?"</f>
        <v>0</v>
      </c>
      <c r="B471" t="s">
        <v>854</v>
      </c>
      <c r="C471" t="s">
        <v>912</v>
      </c>
      <c r="D471">
        <v>998</v>
      </c>
      <c r="E471" t="s">
        <v>879</v>
      </c>
    </row>
    <row r="472" spans="1:5">
      <c r="A472">
        <f>"PROCESS-SI-DOES YOUR SYSTEM SECURE PLAN (SSP) CONTAIN COMPLETED DOCUMENTATION FOR THIS DOMAIN?"</f>
        <v>0</v>
      </c>
      <c r="B472" t="s">
        <v>854</v>
      </c>
      <c r="C472" t="s">
        <v>912</v>
      </c>
      <c r="D472">
        <v>997</v>
      </c>
      <c r="E472" t="s">
        <v>898</v>
      </c>
    </row>
    <row r="473" spans="1:5">
      <c r="A473">
        <f>"PROCESS-SI-IS A POLICY DEFINED FOR THIS DOMAIN?"</f>
        <v>0</v>
      </c>
      <c r="B473" t="s">
        <v>854</v>
      </c>
      <c r="C473" t="s">
        <v>912</v>
      </c>
      <c r="D473" t="s">
        <v>751</v>
      </c>
      <c r="E473" t="s">
        <v>906</v>
      </c>
    </row>
  </sheetData>
  <sheetProtection password="E4E4"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K34"/>
  <sheetViews>
    <sheetView workbookViewId="0"/>
  </sheetViews>
  <sheetFormatPr defaultRowHeight="15"/>
  <cols>
    <col min="1" max="4" width="30.7109375" customWidth="1"/>
    <col min="6" max="6" width="60.7109375" customWidth="1"/>
  </cols>
  <sheetData>
    <row r="1" spans="1:11">
      <c r="A1" s="2" t="s">
        <v>45</v>
      </c>
      <c r="B1" s="2"/>
      <c r="C1" s="2"/>
      <c r="D1" s="2"/>
      <c r="F1" s="2" t="s">
        <v>920</v>
      </c>
    </row>
    <row r="2" spans="1:11">
      <c r="A2" s="15" t="s">
        <v>39</v>
      </c>
      <c r="B2" s="16" t="s">
        <v>40</v>
      </c>
      <c r="C2" s="16" t="s">
        <v>41</v>
      </c>
      <c r="D2" s="16" t="s">
        <v>42</v>
      </c>
    </row>
    <row r="3" spans="1:11">
      <c r="B3" s="17" t="s">
        <v>43</v>
      </c>
      <c r="C3" s="17" t="s">
        <v>46</v>
      </c>
      <c r="D3" s="17" t="s">
        <v>52</v>
      </c>
    </row>
    <row r="4" spans="1:11">
      <c r="B4" s="18" t="s">
        <v>44</v>
      </c>
      <c r="C4" s="18" t="s">
        <v>47</v>
      </c>
      <c r="D4" s="18" t="s">
        <v>53</v>
      </c>
    </row>
    <row r="5" spans="1:11">
      <c r="B5" s="18" t="s">
        <v>2</v>
      </c>
      <c r="C5" s="18" t="s">
        <v>48</v>
      </c>
      <c r="D5" s="18" t="s">
        <v>54</v>
      </c>
    </row>
    <row r="6" spans="1:11">
      <c r="B6" s="18" t="s">
        <v>45</v>
      </c>
      <c r="C6" s="18" t="s">
        <v>49</v>
      </c>
      <c r="D6" s="18" t="s">
        <v>51</v>
      </c>
    </row>
    <row r="7" spans="1:11">
      <c r="B7" s="18"/>
      <c r="C7" s="18" t="s">
        <v>50</v>
      </c>
      <c r="D7" s="18"/>
    </row>
    <row r="8" spans="1:11">
      <c r="B8" s="19"/>
      <c r="C8" s="19" t="s">
        <v>51</v>
      </c>
      <c r="D8" s="19"/>
    </row>
    <row r="10" spans="1:11">
      <c r="A10" s="16" t="s">
        <v>921</v>
      </c>
      <c r="B10" s="16" t="s">
        <v>922</v>
      </c>
      <c r="C10" s="16" t="s">
        <v>923</v>
      </c>
      <c r="D10" s="16" t="s">
        <v>924</v>
      </c>
      <c r="F10" s="12" t="s">
        <v>46</v>
      </c>
      <c r="G10" s="12" t="s">
        <v>47</v>
      </c>
      <c r="H10" s="12" t="s">
        <v>48</v>
      </c>
      <c r="I10" s="12" t="s">
        <v>49</v>
      </c>
      <c r="J10" s="12" t="s">
        <v>50</v>
      </c>
      <c r="K10" s="12" t="s">
        <v>51</v>
      </c>
    </row>
    <row r="11" spans="1:11">
      <c r="A11" t="s">
        <v>13</v>
      </c>
      <c r="B11" t="s">
        <v>925</v>
      </c>
      <c r="C11" s="18" t="s">
        <v>640</v>
      </c>
      <c r="D11" t="s">
        <v>926</v>
      </c>
      <c r="F11" s="12">
        <f>COUNTIF(AC!H54:AC!H57,"=Yes")</f>
        <v>0</v>
      </c>
      <c r="G11" s="12">
        <f>COUNTIF(AC!H54:AC!H57,"=It Does Not Apply")</f>
        <v>0</v>
      </c>
      <c r="H11" s="12">
        <f>COUNTIF(AC!H54:AC!H57,"=Partially")</f>
        <v>0</v>
      </c>
      <c r="I11" s="12">
        <f>COUNTIF(AC!H54:AC!H57,"=I Have Done An Alternative Approach")</f>
        <v>0</v>
      </c>
      <c r="J11" s="12">
        <f>COUNTIF(AC!H54:AC!H57,"=No")</f>
        <v>0</v>
      </c>
      <c r="K11" s="12">
        <f>COUNTIF(AC!H54:AC!H57,"=No Answer")</f>
        <v>0</v>
      </c>
    </row>
    <row r="12" spans="1:11">
      <c r="A12" t="s">
        <v>14</v>
      </c>
      <c r="B12" t="s">
        <v>927</v>
      </c>
      <c r="C12" s="18" t="s">
        <v>656</v>
      </c>
      <c r="D12" t="s">
        <v>928</v>
      </c>
      <c r="F12" s="12">
        <f>COUNTIF(AU!H12:AU!H17,"=Yes")</f>
        <v>0</v>
      </c>
      <c r="G12" s="12">
        <f>COUNTIF(AU!H12:AU!H17,"=It Does Not Apply")</f>
        <v>0</v>
      </c>
      <c r="H12" s="12">
        <f>COUNTIF(AU!H12:AU!H17,"=Partially")</f>
        <v>0</v>
      </c>
      <c r="I12" s="12">
        <f>COUNTIF(AU!H12:AU!H17,"=I Have Done An Alternative Approach")</f>
        <v>0</v>
      </c>
      <c r="J12" s="12">
        <f>COUNTIF(AU!H12:AU!H17,"=No")</f>
        <v>0</v>
      </c>
      <c r="K12" s="12">
        <f>COUNTIF(AU!H12:AU!H17,"=No Answer")</f>
        <v>0</v>
      </c>
    </row>
    <row r="13" spans="1:11">
      <c r="A13" t="s">
        <v>14</v>
      </c>
      <c r="B13" t="s">
        <v>929</v>
      </c>
      <c r="C13" s="18" t="s">
        <v>658</v>
      </c>
      <c r="D13" t="s">
        <v>930</v>
      </c>
      <c r="F13" s="12">
        <f>COUNTIF(AU!H26:AU!H28,"=Yes")</f>
        <v>0</v>
      </c>
      <c r="G13" s="12">
        <f>COUNTIF(AU!H26:AU!H28,"=It Does Not Apply")</f>
        <v>0</v>
      </c>
      <c r="H13" s="12">
        <f>COUNTIF(AU!H26:AU!H28,"=Partially")</f>
        <v>0</v>
      </c>
      <c r="I13" s="12">
        <f>COUNTIF(AU!H26:AU!H28,"=I Have Done An Alternative Approach")</f>
        <v>0</v>
      </c>
      <c r="J13" s="12">
        <f>COUNTIF(AU!H26:AU!H28,"=No")</f>
        <v>0</v>
      </c>
      <c r="K13" s="12">
        <f>COUNTIF(AU!H26:AU!H28,"=No Answer")</f>
        <v>0</v>
      </c>
    </row>
    <row r="14" spans="1:11">
      <c r="A14" t="s">
        <v>14</v>
      </c>
      <c r="B14" t="s">
        <v>931</v>
      </c>
      <c r="C14" s="18" t="s">
        <v>660</v>
      </c>
      <c r="D14" t="s">
        <v>932</v>
      </c>
      <c r="F14" s="12">
        <f>COUNTIF(AU!H38:AU!H39,"=Yes")</f>
        <v>0</v>
      </c>
      <c r="G14" s="12">
        <f>COUNTIF(AU!H38:AU!H39,"=It Does Not Apply")</f>
        <v>0</v>
      </c>
      <c r="H14" s="12">
        <f>COUNTIF(AU!H38:AU!H39,"=Partially")</f>
        <v>0</v>
      </c>
      <c r="I14" s="12">
        <f>COUNTIF(AU!H38:AU!H39,"=I Have Done An Alternative Approach")</f>
        <v>0</v>
      </c>
      <c r="J14" s="12">
        <f>COUNTIF(AU!H38:AU!H39,"=No")</f>
        <v>0</v>
      </c>
      <c r="K14" s="12">
        <f>COUNTIF(AU!H38:AU!H39,"=No Answer")</f>
        <v>0</v>
      </c>
    </row>
    <row r="15" spans="1:11">
      <c r="A15" t="s">
        <v>14</v>
      </c>
      <c r="B15" t="s">
        <v>933</v>
      </c>
      <c r="C15" s="18" t="s">
        <v>661</v>
      </c>
      <c r="D15" t="s">
        <v>934</v>
      </c>
      <c r="F15" s="12">
        <f>COUNTIF(AU!H43:AU!H44,"=Yes")</f>
        <v>0</v>
      </c>
      <c r="G15" s="12">
        <f>COUNTIF(AU!H43:AU!H44,"=It Does Not Apply")</f>
        <v>0</v>
      </c>
      <c r="H15" s="12">
        <f>COUNTIF(AU!H43:AU!H44,"=Partially")</f>
        <v>0</v>
      </c>
      <c r="I15" s="12">
        <f>COUNTIF(AU!H43:AU!H44,"=I Have Done An Alternative Approach")</f>
        <v>0</v>
      </c>
      <c r="J15" s="12">
        <f>COUNTIF(AU!H43:AU!H44,"=No")</f>
        <v>0</v>
      </c>
      <c r="K15" s="12">
        <f>COUNTIF(AU!H43:AU!H44,"=No Answer")</f>
        <v>0</v>
      </c>
    </row>
    <row r="16" spans="1:11">
      <c r="A16" t="s">
        <v>14</v>
      </c>
      <c r="B16" t="s">
        <v>935</v>
      </c>
      <c r="C16" s="18" t="s">
        <v>663</v>
      </c>
      <c r="D16" t="s">
        <v>936</v>
      </c>
      <c r="F16" s="12">
        <f>COUNTIF(AU!H54:AU!H59,"=Yes")</f>
        <v>0</v>
      </c>
      <c r="G16" s="12">
        <f>COUNTIF(AU!H54:AU!H59,"=It Does Not Apply")</f>
        <v>0</v>
      </c>
      <c r="H16" s="12">
        <f>COUNTIF(AU!H54:AU!H59,"=Partially")</f>
        <v>0</v>
      </c>
      <c r="I16" s="12">
        <f>COUNTIF(AU!H54:AU!H59,"=I Have Done An Alternative Approach")</f>
        <v>0</v>
      </c>
      <c r="J16" s="12">
        <f>COUNTIF(AU!H54:AU!H59,"=No")</f>
        <v>0</v>
      </c>
      <c r="K16" s="12">
        <f>COUNTIF(AU!H54:AU!H59,"=No Answer")</f>
        <v>0</v>
      </c>
    </row>
    <row r="17" spans="1:11">
      <c r="A17" t="s">
        <v>14</v>
      </c>
      <c r="B17" t="s">
        <v>937</v>
      </c>
      <c r="C17" s="18" t="s">
        <v>664</v>
      </c>
      <c r="D17" t="s">
        <v>938</v>
      </c>
      <c r="F17" s="12">
        <f>COUNTIF(AU!H63:AU!H64,"=Yes")</f>
        <v>0</v>
      </c>
      <c r="G17" s="12">
        <f>COUNTIF(AU!H63:AU!H64,"=It Does Not Apply")</f>
        <v>0</v>
      </c>
      <c r="H17" s="12">
        <f>COUNTIF(AU!H63:AU!H64,"=Partially")</f>
        <v>0</v>
      </c>
      <c r="I17" s="12">
        <f>COUNTIF(AU!H63:AU!H64,"=I Have Done An Alternative Approach")</f>
        <v>0</v>
      </c>
      <c r="J17" s="12">
        <f>COUNTIF(AU!H63:AU!H64,"=No")</f>
        <v>0</v>
      </c>
      <c r="K17" s="12">
        <f>COUNTIF(AU!H63:AU!H64,"=No Answer")</f>
        <v>0</v>
      </c>
    </row>
    <row r="18" spans="1:11">
      <c r="A18" t="s">
        <v>26</v>
      </c>
      <c r="B18" t="s">
        <v>939</v>
      </c>
      <c r="C18" s="18" t="s">
        <v>728</v>
      </c>
      <c r="D18" t="s">
        <v>940</v>
      </c>
      <c r="F18" s="12">
        <f>COUNTIF(SC!H12:SC!H19,"=Yes")</f>
        <v>0</v>
      </c>
      <c r="G18" s="12">
        <f>COUNTIF(SC!H12:SC!H19,"=It Does Not Apply")</f>
        <v>0</v>
      </c>
      <c r="H18" s="12">
        <f>COUNTIF(SC!H12:SC!H19,"=Partially")</f>
        <v>0</v>
      </c>
      <c r="I18" s="12">
        <f>COUNTIF(SC!H12:SC!H19,"=I Have Done An Alternative Approach")</f>
        <v>0</v>
      </c>
      <c r="J18" s="12">
        <f>COUNTIF(SC!H12:SC!H19,"=No")</f>
        <v>0</v>
      </c>
      <c r="K18" s="12">
        <f>COUNTIF(SC!H12:SC!H19,"=No Answer")</f>
        <v>0</v>
      </c>
    </row>
    <row r="19" spans="1:11">
      <c r="A19" t="s">
        <v>26</v>
      </c>
      <c r="B19" t="s">
        <v>941</v>
      </c>
      <c r="C19" s="18" t="s">
        <v>740</v>
      </c>
      <c r="D19" t="s">
        <v>942</v>
      </c>
      <c r="F19" s="12">
        <f>COUNTIF(SC!H80:SC!H81,"=Yes")</f>
        <v>0</v>
      </c>
      <c r="G19" s="12">
        <f>COUNTIF(SC!H80:SC!H81,"=It Does Not Apply")</f>
        <v>0</v>
      </c>
      <c r="H19" s="12">
        <f>COUNTIF(SC!H80:SC!H81,"=Partially")</f>
        <v>0</v>
      </c>
      <c r="I19" s="12">
        <f>COUNTIF(SC!H80:SC!H81,"=I Have Done An Alternative Approach")</f>
        <v>0</v>
      </c>
      <c r="J19" s="12">
        <f>COUNTIF(SC!H80:SC!H81,"=No")</f>
        <v>0</v>
      </c>
      <c r="K19" s="12">
        <f>COUNTIF(SC!H80:SC!H81,"=No Answer")</f>
        <v>0</v>
      </c>
    </row>
    <row r="20" spans="1:11">
      <c r="A20" t="s">
        <v>25</v>
      </c>
      <c r="B20" t="s">
        <v>943</v>
      </c>
      <c r="C20" s="18" t="s">
        <v>725</v>
      </c>
      <c r="D20" t="s">
        <v>944</v>
      </c>
      <c r="F20" s="12">
        <f>COUNTIF(SI!H36:SI!H38,"=Yes")</f>
        <v>0</v>
      </c>
      <c r="G20" s="12">
        <f>COUNTIF(SI!H36:SI!H38,"=It Does Not Apply")</f>
        <v>0</v>
      </c>
      <c r="H20" s="12">
        <f>COUNTIF(SI!H36:SI!H38,"=Partially")</f>
        <v>0</v>
      </c>
      <c r="I20" s="12">
        <f>COUNTIF(SI!H36:SI!H38,"=I Have Done An Alternative Approach")</f>
        <v>0</v>
      </c>
      <c r="J20" s="12">
        <f>COUNTIF(SI!H36:SI!H38,"=No")</f>
        <v>0</v>
      </c>
      <c r="K20" s="12">
        <f>COUNTIF(SI!H36:SI!H38,"=No Answer")</f>
        <v>0</v>
      </c>
    </row>
    <row r="21" spans="1:11">
      <c r="A21" t="s">
        <v>25</v>
      </c>
      <c r="B21" t="s">
        <v>945</v>
      </c>
      <c r="C21" s="18" t="s">
        <v>726</v>
      </c>
      <c r="D21" t="s">
        <v>946</v>
      </c>
      <c r="F21" s="12">
        <f>COUNTIF(SI!H42:SI!H44,"=Yes")</f>
        <v>0</v>
      </c>
      <c r="G21" s="12">
        <f>COUNTIF(SI!H42:SI!H44,"=It Does Not Apply")</f>
        <v>0</v>
      </c>
      <c r="H21" s="12">
        <f>COUNTIF(SI!H42:SI!H44,"=Partially")</f>
        <v>0</v>
      </c>
      <c r="I21" s="12">
        <f>COUNTIF(SI!H42:SI!H44,"=I Have Done An Alternative Approach")</f>
        <v>0</v>
      </c>
      <c r="J21" s="12">
        <f>COUNTIF(SI!H42:SI!H44,"=No")</f>
        <v>0</v>
      </c>
      <c r="K21" s="12">
        <f>COUNTIF(SI!H42:SI!H44,"=No Answer")</f>
        <v>0</v>
      </c>
    </row>
    <row r="22" spans="1:11">
      <c r="A22" t="s">
        <v>25</v>
      </c>
      <c r="B22" t="s">
        <v>947</v>
      </c>
      <c r="C22" s="18" t="s">
        <v>727</v>
      </c>
      <c r="D22" t="s">
        <v>948</v>
      </c>
      <c r="F22" s="12">
        <f>COUNTIF(SI!H48:SI!H49,"=Yes")</f>
        <v>0</v>
      </c>
      <c r="G22" s="12">
        <f>COUNTIF(SI!H48:SI!H49,"=It Does Not Apply")</f>
        <v>0</v>
      </c>
      <c r="H22" s="12">
        <f>COUNTIF(SI!H48:SI!H49,"=Partially")</f>
        <v>0</v>
      </c>
      <c r="I22" s="12">
        <f>COUNTIF(SI!H48:SI!H49,"=I Have Done An Alternative Approach")</f>
        <v>0</v>
      </c>
      <c r="J22" s="12">
        <f>COUNTIF(SI!H48:SI!H49,"=No")</f>
        <v>0</v>
      </c>
      <c r="K22" s="12">
        <f>COUNTIF(SI!H48:SI!H49,"=No Answer")</f>
        <v>0</v>
      </c>
    </row>
    <row r="23" spans="1:11">
      <c r="A23" t="s">
        <v>18</v>
      </c>
      <c r="B23" t="s">
        <v>949</v>
      </c>
      <c r="C23" s="18" t="s">
        <v>688</v>
      </c>
      <c r="D23" t="s">
        <v>950</v>
      </c>
      <c r="F23" s="12">
        <f>COUNTIF(IR!H12:IR!H18,"=Yes")</f>
        <v>0</v>
      </c>
      <c r="G23" s="12">
        <f>COUNTIF(IR!H12:IR!H18,"=It Does Not Apply")</f>
        <v>0</v>
      </c>
      <c r="H23" s="12">
        <f>COUNTIF(IR!H12:IR!H18,"=Partially")</f>
        <v>0</v>
      </c>
      <c r="I23" s="12">
        <f>COUNTIF(IR!H12:IR!H18,"=I Have Done An Alternative Approach")</f>
        <v>0</v>
      </c>
      <c r="J23" s="12">
        <f>COUNTIF(IR!H12:IR!H18,"=No")</f>
        <v>0</v>
      </c>
      <c r="K23" s="12">
        <f>COUNTIF(IR!H12:IR!H18,"=No Answer")</f>
        <v>0</v>
      </c>
    </row>
    <row r="24" spans="1:11">
      <c r="A24" t="s">
        <v>18</v>
      </c>
      <c r="B24" t="s">
        <v>951</v>
      </c>
      <c r="C24" s="18" t="s">
        <v>689</v>
      </c>
      <c r="D24" t="s">
        <v>952</v>
      </c>
      <c r="F24" s="12">
        <f>COUNTIF(IR!H22:IR!H27,"=Yes")</f>
        <v>0</v>
      </c>
      <c r="G24" s="12">
        <f>COUNTIF(IR!H22:IR!H27,"=It Does Not Apply")</f>
        <v>0</v>
      </c>
      <c r="H24" s="12">
        <f>COUNTIF(IR!H22:IR!H27,"=Partially")</f>
        <v>0</v>
      </c>
      <c r="I24" s="12">
        <f>COUNTIF(IR!H22:IR!H27,"=I Have Done An Alternative Approach")</f>
        <v>0</v>
      </c>
      <c r="J24" s="12">
        <f>COUNTIF(IR!H22:IR!H27,"=No")</f>
        <v>0</v>
      </c>
      <c r="K24" s="12">
        <f>COUNTIF(IR!H22:IR!H27,"=No Answer")</f>
        <v>0</v>
      </c>
    </row>
    <row r="25" spans="1:11">
      <c r="A25" t="s">
        <v>18</v>
      </c>
      <c r="B25" t="s">
        <v>953</v>
      </c>
      <c r="C25" s="18" t="s">
        <v>690</v>
      </c>
      <c r="D25" t="s">
        <v>954</v>
      </c>
      <c r="F25" s="12">
        <f>COUNTIF(IR!H31:IR!H31,"=Yes")</f>
        <v>0</v>
      </c>
      <c r="G25" s="12">
        <f>COUNTIF(IR!H31:IR!H31,"=It Does Not Apply")</f>
        <v>0</v>
      </c>
      <c r="H25" s="12">
        <f>COUNTIF(IR!H31:IR!H31,"=Partially")</f>
        <v>0</v>
      </c>
      <c r="I25" s="12">
        <f>COUNTIF(IR!H31:IR!H31,"=I Have Done An Alternative Approach")</f>
        <v>0</v>
      </c>
      <c r="J25" s="12">
        <f>COUNTIF(IR!H31:IR!H31,"=No")</f>
        <v>0</v>
      </c>
      <c r="K25" s="12">
        <f>COUNTIF(IR!H31:IR!H31,"=No Answer")</f>
        <v>0</v>
      </c>
    </row>
    <row r="27" spans="1:11">
      <c r="E27" s="12" t="s">
        <v>955</v>
      </c>
      <c r="F27" s="12">
        <f>sum(F11:F25)</f>
        <v>0</v>
      </c>
      <c r="G27" s="12">
        <f>sum(G11:G25)</f>
        <v>0</v>
      </c>
      <c r="H27" s="12">
        <f>sum(H11:H25)</f>
        <v>0</v>
      </c>
      <c r="I27" s="12">
        <f>sum(I11:I25)</f>
        <v>0</v>
      </c>
      <c r="J27" s="12">
        <f>sum(J11:J25)</f>
        <v>0</v>
      </c>
      <c r="K27" s="12">
        <f>sum(K11:K25)</f>
        <v>0</v>
      </c>
    </row>
    <row r="29" spans="1:11">
      <c r="E29" s="12" t="s">
        <v>46</v>
      </c>
      <c r="F29" s="12">
        <f>F27</f>
        <v>0</v>
      </c>
    </row>
    <row r="30" spans="1:11">
      <c r="E30" s="12" t="s">
        <v>47</v>
      </c>
      <c r="F30" s="12">
        <f>G27</f>
        <v>0</v>
      </c>
    </row>
    <row r="31" spans="1:11">
      <c r="E31" s="12" t="s">
        <v>48</v>
      </c>
      <c r="F31" s="12">
        <f>H27</f>
        <v>0</v>
      </c>
    </row>
    <row r="32" spans="1:11">
      <c r="E32" s="12" t="s">
        <v>49</v>
      </c>
      <c r="F32" s="12">
        <f>I27</f>
        <v>0</v>
      </c>
    </row>
    <row r="33" spans="5:6">
      <c r="E33" s="12" t="s">
        <v>50</v>
      </c>
      <c r="F33" s="12">
        <f>J27</f>
        <v>0</v>
      </c>
    </row>
    <row r="34" spans="5:6">
      <c r="E34" s="12" t="s">
        <v>51</v>
      </c>
      <c r="F34" s="12">
        <f>K27</f>
        <v>0</v>
      </c>
    </row>
  </sheetData>
  <sheetProtection password="E4E4" sheet="1" objects="1" scenarios="1"/>
  <mergeCells count="1">
    <mergeCell ref="A1:D1"/>
  </mergeCells>
  <hyperlinks>
    <hyperlink ref="A2" location="HOME!A1" display="HOME"/>
    <hyperlink ref="B3" location="'DASHBOARD- PRACTICES'!A1" display="Practice Answers"/>
    <hyperlink ref="C3" location="'practices&gt;Yes'!F1" display="Yes"/>
    <hyperlink ref="D3" location="'Docs&gt;Completed'!F1" display="Completed"/>
    <hyperlink ref="B4" location="'DASHBOARD- OBJECTIVE EVIDENCE'!A1" display="Objective Evidence"/>
    <hyperlink ref="C4" location="'practices&gt;It Does Not Apply'!F1" display="It Does Not Apply"/>
    <hyperlink ref="D4" location="'Docs&gt;Partially Completed'!F1" display="Partially Completed"/>
    <hyperlink ref="B5" location="'DASHBOARD- DOCUMENTATION'!A1" display="Documentation Answers"/>
    <hyperlink ref="C5" location="'practices&gt;Partially'!F1" display="Partially"/>
    <hyperlink ref="D5" location="'Docs&gt;Not Yet Started'!F1" display="Not Yet Started"/>
    <hyperlink ref="B6" location="'CDN-FACILITATED_PRACTICES'!A1" display="CDN-Facilitated Practices"/>
    <hyperlink ref="C6" location="'practices&gt;I Have Done An Altern'!F1" display="I Have Done An Alternative Approach"/>
    <hyperlink ref="D6" location="'Docs&gt;No Answer'!F1" display="No Answer"/>
    <hyperlink ref="C7" location="'practices&gt;No'!F1" display="No"/>
    <hyperlink ref="C8" location="'practices&gt;No Answer'!F1" display="No Answer"/>
    <hyperlink ref="C11" location="'AC'!A53" display="AC.L2-3.1.12"/>
    <hyperlink ref="C12" location="'AU'!A11" display="AU.L2-3.3.1"/>
    <hyperlink ref="C13" location="'AU'!A25" display="AU.L2-3.3.3"/>
    <hyperlink ref="C14" location="'AU'!A37" display="AU.L2-3.3.5"/>
    <hyperlink ref="C15" location="'AU'!A42" display="AU.L2-3.3.6"/>
    <hyperlink ref="C16" location="'AU'!A53" display="AU.L2-3.3.8"/>
    <hyperlink ref="C17" location="'AU'!A62" display="AU.L2-3.3.9"/>
    <hyperlink ref="C18" location="'SC'!A11" display="SC.L1-3.13.1"/>
    <hyperlink ref="C19" location="'SC'!A79" display="SC.L2-3.13.6"/>
    <hyperlink ref="C20" location="'SI'!A35" display="SI.L2-3.14.3"/>
    <hyperlink ref="C21" location="'SI'!A41" display="SI.L2-3.14.6"/>
    <hyperlink ref="C22" location="'SI'!A47" display="SI.L2-3.14.7"/>
    <hyperlink ref="C23" location="'IR'!A11" display="IR.L2-3.6.1"/>
    <hyperlink ref="C24" location="'IR'!A21" display="IR.L2-3.6.2"/>
    <hyperlink ref="C25" location="'IR'!A30" display="IR.L2-3.6.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HOME</vt:lpstr>
      <vt:lpstr>AC</vt:lpstr>
      <vt:lpstr>AU</vt:lpstr>
      <vt:lpstr>AT</vt:lpstr>
      <vt:lpstr>CM</vt:lpstr>
      <vt:lpstr>IA</vt:lpstr>
      <vt:lpstr>IR</vt:lpstr>
      <vt:lpstr>MA</vt:lpstr>
      <vt:lpstr>MP</vt:lpstr>
      <vt:lpstr>PS</vt:lpstr>
      <vt:lpstr>PE</vt:lpstr>
      <vt:lpstr>RA</vt:lpstr>
      <vt:lpstr>CA</vt:lpstr>
      <vt:lpstr>SI</vt:lpstr>
      <vt:lpstr>SC</vt:lpstr>
      <vt:lpstr>DATA_SUPPORT</vt:lpstr>
      <vt:lpstr>data_summary_by_practice</vt:lpstr>
      <vt:lpstr>DASHBOARD- PERCENT RANGES</vt:lpstr>
      <vt:lpstr>data_summary_by_question</vt:lpstr>
      <vt:lpstr>DASHBOARD- PRACTICES</vt:lpstr>
      <vt:lpstr>DASHBOARD- OBJECTIVE EVIDENCE</vt:lpstr>
      <vt:lpstr>DASHBOARD- DOCUMENTATION</vt:lpstr>
      <vt:lpstr>Docs&gt;Completed</vt:lpstr>
      <vt:lpstr>Docs&gt;Partially Completed</vt:lpstr>
      <vt:lpstr>Docs&gt;Not Yet Started</vt:lpstr>
      <vt:lpstr>Docs&gt;No Answer</vt:lpstr>
      <vt:lpstr>practices&gt;Yes</vt:lpstr>
      <vt:lpstr>practices&gt;It Does Not Apply</vt:lpstr>
      <vt:lpstr>practices&gt;Partially</vt:lpstr>
      <vt:lpstr>practices&gt;I Have Done An Altern</vt:lpstr>
      <vt:lpstr>practices&gt;No</vt:lpstr>
      <vt:lpstr>practices&gt;No Answer</vt:lpstr>
      <vt:lpstr>IMPORT-LOCATIONS</vt:lpstr>
      <vt:lpstr>CDN-FACILITATED_PRACTICES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2024-04-18T17:05:59Z</dcterms:created>
  <dcterms:modified xsi:type="dcterms:W3CDTF">2024-04-18T17:05:59Z</dcterms:modified>
</cp:coreProperties>
</file>